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06"/>
  <workbookPr filterPrivacy="1" codeName="ЭтаКнига" defaultThemeVersion="124226"/>
  <xr:revisionPtr revIDLastSave="0" documentId="11_50208D0CFA88C7ADF57E754EF2723CC50D1FDDD0" xr6:coauthVersionLast="45" xr6:coauthVersionMax="45" xr10:uidLastSave="{00000000-0000-0000-0000-000000000000}"/>
  <bookViews>
    <workbookView xWindow="240" yWindow="105" windowWidth="14805" windowHeight="8010" xr2:uid="{00000000-000D-0000-FFFF-FFFF00000000}"/>
  </bookViews>
  <sheets>
    <sheet name="Лист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C17" i="1" l="1"/>
  <c r="AD156" i="1" l="1"/>
  <c r="AC156" i="1"/>
  <c r="AB156" i="1"/>
  <c r="Z156" i="1"/>
  <c r="Y156" i="1"/>
  <c r="AD155" i="1"/>
  <c r="AC155" i="1"/>
  <c r="AB155" i="1"/>
  <c r="Z155" i="1"/>
  <c r="Y155" i="1"/>
  <c r="AD154" i="1"/>
  <c r="AC154" i="1"/>
  <c r="AB154" i="1"/>
  <c r="Z154" i="1"/>
  <c r="Y154" i="1"/>
  <c r="AD153" i="1"/>
  <c r="AC153" i="1"/>
  <c r="AB153" i="1"/>
  <c r="Z153" i="1"/>
  <c r="Y153" i="1"/>
  <c r="AD152" i="1"/>
  <c r="AC152" i="1"/>
  <c r="AB152" i="1"/>
  <c r="Z152" i="1"/>
  <c r="Y152" i="1"/>
  <c r="AD151" i="1"/>
  <c r="AC151" i="1"/>
  <c r="AB151" i="1"/>
  <c r="Z151" i="1"/>
  <c r="Y151" i="1"/>
  <c r="AD150" i="1"/>
  <c r="AC150" i="1"/>
  <c r="AB150" i="1"/>
  <c r="Z150" i="1"/>
  <c r="Y150" i="1"/>
  <c r="AD149" i="1"/>
  <c r="AC149" i="1"/>
  <c r="AB149" i="1"/>
  <c r="Z149" i="1"/>
  <c r="Y149" i="1"/>
  <c r="AD148" i="1"/>
  <c r="AC148" i="1"/>
  <c r="AB148" i="1"/>
  <c r="Z148" i="1"/>
  <c r="Y148" i="1"/>
  <c r="AD147" i="1"/>
  <c r="AC147" i="1"/>
  <c r="AB147" i="1"/>
  <c r="Z147" i="1"/>
  <c r="Y147" i="1"/>
  <c r="AD146" i="1"/>
  <c r="AC146" i="1"/>
  <c r="AB146" i="1"/>
  <c r="Y146" i="1"/>
  <c r="AD145" i="1"/>
  <c r="AC145" i="1"/>
  <c r="AB145" i="1"/>
  <c r="Z145" i="1"/>
  <c r="Y145" i="1"/>
  <c r="AD144" i="1"/>
  <c r="AC144" i="1"/>
  <c r="AB144" i="1"/>
  <c r="Z144" i="1"/>
  <c r="Y144" i="1"/>
  <c r="AD143" i="1"/>
  <c r="AC143" i="1"/>
  <c r="AB143" i="1"/>
  <c r="Z143" i="1"/>
  <c r="Y143" i="1"/>
  <c r="AD142" i="1"/>
  <c r="AC142" i="1"/>
  <c r="AB142" i="1"/>
  <c r="Z142" i="1"/>
  <c r="Y142" i="1"/>
  <c r="AD141" i="1"/>
  <c r="AC141" i="1"/>
  <c r="AB141" i="1"/>
  <c r="Z141" i="1"/>
  <c r="Y141" i="1"/>
  <c r="AD140" i="1"/>
  <c r="AC140" i="1"/>
  <c r="AB140" i="1"/>
  <c r="Z140" i="1"/>
  <c r="Y140" i="1"/>
  <c r="AD139" i="1"/>
  <c r="AC139" i="1"/>
  <c r="AB139" i="1"/>
  <c r="Z139" i="1"/>
  <c r="Y139" i="1"/>
  <c r="AD138" i="1"/>
  <c r="AC138" i="1"/>
  <c r="AB138" i="1"/>
  <c r="Y138" i="1"/>
  <c r="AD137" i="1"/>
  <c r="AC137" i="1"/>
  <c r="AB137" i="1"/>
  <c r="Z137" i="1"/>
  <c r="Y137" i="1"/>
  <c r="AD136" i="1"/>
  <c r="AC136" i="1"/>
  <c r="AB136" i="1"/>
  <c r="Z136" i="1"/>
  <c r="Y136" i="1"/>
  <c r="AD135" i="1"/>
  <c r="AC135" i="1"/>
  <c r="AB135" i="1"/>
  <c r="Y13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AD130" i="1"/>
  <c r="AC130" i="1"/>
  <c r="AB130" i="1"/>
  <c r="AA130" i="1"/>
  <c r="X130" i="1"/>
  <c r="W130" i="1"/>
  <c r="V130" i="1"/>
  <c r="U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D130" i="1"/>
  <c r="C130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AD118" i="1"/>
  <c r="AC118" i="1"/>
  <c r="AB118" i="1"/>
  <c r="AA118" i="1"/>
  <c r="X118" i="1"/>
  <c r="W118" i="1"/>
  <c r="V118" i="1"/>
  <c r="U118" i="1"/>
  <c r="S118" i="1"/>
  <c r="R118" i="1"/>
  <c r="Q118" i="1"/>
  <c r="P118" i="1"/>
  <c r="N118" i="1"/>
  <c r="M118" i="1"/>
  <c r="L118" i="1"/>
  <c r="K118" i="1"/>
  <c r="J118" i="1"/>
  <c r="I118" i="1"/>
  <c r="H118" i="1"/>
  <c r="G118" i="1"/>
  <c r="F118" i="1"/>
  <c r="D118" i="1"/>
  <c r="C118" i="1"/>
  <c r="AD112" i="1"/>
  <c r="AC112" i="1"/>
  <c r="AB112" i="1"/>
  <c r="AA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AD120" i="1"/>
  <c r="AC120" i="1"/>
  <c r="AB120" i="1"/>
  <c r="AA120" i="1"/>
  <c r="Z120" i="1"/>
  <c r="Y120" i="1"/>
  <c r="X120" i="1"/>
  <c r="W120" i="1"/>
  <c r="V120" i="1"/>
  <c r="U120" i="1"/>
  <c r="S120" i="1"/>
  <c r="R120" i="1"/>
  <c r="Q120" i="1"/>
  <c r="P120" i="1"/>
  <c r="N120" i="1"/>
  <c r="M120" i="1"/>
  <c r="L120" i="1"/>
  <c r="K120" i="1"/>
  <c r="J120" i="1"/>
  <c r="I120" i="1"/>
  <c r="H120" i="1"/>
  <c r="G120" i="1"/>
  <c r="F120" i="1"/>
  <c r="C120" i="1"/>
  <c r="AD115" i="1"/>
  <c r="AC115" i="1"/>
  <c r="AB115" i="1"/>
  <c r="AA115" i="1"/>
  <c r="X115" i="1"/>
  <c r="W115" i="1"/>
  <c r="V115" i="1"/>
  <c r="U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D115" i="1"/>
  <c r="C115" i="1"/>
  <c r="AD119" i="1"/>
  <c r="AC119" i="1"/>
  <c r="AB119" i="1"/>
  <c r="AA119" i="1"/>
  <c r="X119" i="1"/>
  <c r="W119" i="1"/>
  <c r="V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D119" i="1"/>
  <c r="C119" i="1"/>
  <c r="AD111" i="1"/>
  <c r="AC111" i="1"/>
  <c r="AB111" i="1"/>
  <c r="AA111" i="1"/>
  <c r="X111" i="1"/>
  <c r="W111" i="1"/>
  <c r="V111" i="1"/>
  <c r="U111" i="1"/>
  <c r="S111" i="1"/>
  <c r="R111" i="1"/>
  <c r="Q111" i="1"/>
  <c r="P111" i="1"/>
  <c r="N111" i="1"/>
  <c r="M111" i="1"/>
  <c r="L111" i="1"/>
  <c r="K111" i="1"/>
  <c r="J111" i="1"/>
  <c r="I111" i="1"/>
  <c r="H111" i="1"/>
  <c r="G111" i="1"/>
  <c r="F111" i="1"/>
  <c r="D111" i="1"/>
  <c r="C111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D114" i="1"/>
  <c r="C114" i="1"/>
  <c r="AD113" i="1"/>
  <c r="AC113" i="1"/>
  <c r="AB113" i="1"/>
  <c r="AA113" i="1"/>
  <c r="X113" i="1"/>
  <c r="W113" i="1"/>
  <c r="V113" i="1"/>
  <c r="U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D113" i="1"/>
  <c r="C113" i="1"/>
  <c r="AD98" i="1"/>
  <c r="AC98" i="1"/>
  <c r="AB98" i="1"/>
  <c r="AA98" i="1"/>
  <c r="Y98" i="1"/>
  <c r="X98" i="1"/>
  <c r="W98" i="1"/>
  <c r="V98" i="1"/>
  <c r="U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AD100" i="1"/>
  <c r="AC100" i="1"/>
  <c r="AB100" i="1"/>
  <c r="AA100" i="1"/>
  <c r="Z100" i="1"/>
  <c r="Y100" i="1"/>
  <c r="X100" i="1"/>
  <c r="W100" i="1"/>
  <c r="V100" i="1"/>
  <c r="U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8" i="1"/>
  <c r="C94" i="1"/>
  <c r="C96" i="1"/>
  <c r="C95" i="1"/>
  <c r="C101" i="1"/>
  <c r="C99" i="1"/>
  <c r="C104" i="1"/>
  <c r="C102" i="1"/>
  <c r="C97" i="1"/>
  <c r="C107" i="1"/>
  <c r="C100" i="1"/>
  <c r="C106" i="1"/>
  <c r="C103" i="1"/>
  <c r="C105" i="1"/>
  <c r="C93" i="1"/>
  <c r="X69" i="1" l="1"/>
  <c r="X54" i="1"/>
  <c r="X48" i="1"/>
  <c r="X43" i="1"/>
  <c r="X55" i="1"/>
  <c r="X82" i="1"/>
  <c r="X70" i="1"/>
  <c r="X79" i="1"/>
  <c r="X53" i="1"/>
  <c r="X42" i="1"/>
  <c r="X51" i="1"/>
  <c r="X87" i="1"/>
  <c r="X60" i="1"/>
  <c r="X67" i="1"/>
  <c r="X66" i="1"/>
  <c r="X85" i="1"/>
  <c r="X90" i="1"/>
  <c r="X77" i="1"/>
  <c r="X88" i="1"/>
  <c r="X86" i="1"/>
  <c r="X80" i="1"/>
  <c r="X75" i="1"/>
  <c r="X89" i="1"/>
  <c r="X44" i="1"/>
  <c r="X84" i="1"/>
  <c r="X57" i="1"/>
  <c r="X50" i="1"/>
  <c r="X64" i="1"/>
  <c r="X56" i="1"/>
  <c r="X81" i="1"/>
  <c r="X76" i="1"/>
  <c r="X63" i="1"/>
  <c r="X59" i="1"/>
  <c r="X58" i="1"/>
  <c r="X52" i="1"/>
  <c r="X74" i="1"/>
  <c r="X65" i="1"/>
  <c r="X68" i="1"/>
  <c r="X72" i="1"/>
  <c r="X71" i="1"/>
  <c r="X83" i="1"/>
  <c r="X62" i="1"/>
  <c r="X47" i="1"/>
  <c r="X45" i="1"/>
  <c r="X73" i="1"/>
  <c r="X49" i="1"/>
  <c r="X61" i="1"/>
  <c r="X78" i="1"/>
  <c r="X46" i="1"/>
  <c r="X41" i="1"/>
  <c r="W69" i="1"/>
  <c r="W54" i="1"/>
  <c r="W48" i="1"/>
  <c r="W43" i="1"/>
  <c r="W55" i="1"/>
  <c r="W82" i="1"/>
  <c r="W70" i="1"/>
  <c r="W79" i="1"/>
  <c r="W53" i="1"/>
  <c r="W42" i="1"/>
  <c r="W51" i="1"/>
  <c r="W87" i="1"/>
  <c r="W60" i="1"/>
  <c r="W66" i="1"/>
  <c r="W85" i="1"/>
  <c r="W90" i="1"/>
  <c r="W77" i="1"/>
  <c r="W88" i="1"/>
  <c r="W86" i="1"/>
  <c r="W80" i="1"/>
  <c r="W75" i="1"/>
  <c r="W89" i="1"/>
  <c r="W44" i="1"/>
  <c r="W84" i="1"/>
  <c r="W57" i="1"/>
  <c r="W50" i="1"/>
  <c r="W64" i="1"/>
  <c r="W56" i="1"/>
  <c r="W81" i="1"/>
  <c r="W76" i="1"/>
  <c r="W63" i="1"/>
  <c r="W59" i="1"/>
  <c r="W58" i="1"/>
  <c r="W52" i="1"/>
  <c r="W74" i="1"/>
  <c r="W65" i="1"/>
  <c r="W68" i="1"/>
  <c r="W72" i="1"/>
  <c r="W71" i="1"/>
  <c r="W83" i="1"/>
  <c r="W62" i="1"/>
  <c r="W47" i="1"/>
  <c r="W45" i="1"/>
  <c r="W73" i="1"/>
  <c r="W49" i="1"/>
  <c r="W61" i="1"/>
  <c r="W78" i="1"/>
  <c r="W46" i="1"/>
  <c r="W41" i="1"/>
  <c r="V41" i="1" l="1"/>
  <c r="V46" i="1"/>
  <c r="V78" i="1"/>
  <c r="V61" i="1"/>
  <c r="V49" i="1"/>
  <c r="V73" i="1"/>
  <c r="V45" i="1"/>
  <c r="V47" i="1"/>
  <c r="V62" i="1"/>
  <c r="V83" i="1"/>
  <c r="V71" i="1"/>
  <c r="V72" i="1"/>
  <c r="V68" i="1"/>
  <c r="V65" i="1"/>
  <c r="V74" i="1"/>
  <c r="V52" i="1"/>
  <c r="V58" i="1"/>
  <c r="V59" i="1"/>
  <c r="V63" i="1"/>
  <c r="V76" i="1"/>
  <c r="V81" i="1"/>
  <c r="V56" i="1"/>
  <c r="V64" i="1"/>
  <c r="V50" i="1"/>
  <c r="V57" i="1"/>
  <c r="V84" i="1"/>
  <c r="V44" i="1"/>
  <c r="V89" i="1"/>
  <c r="V75" i="1"/>
  <c r="V80" i="1"/>
  <c r="V86" i="1"/>
  <c r="V88" i="1"/>
  <c r="V77" i="1"/>
  <c r="V90" i="1"/>
  <c r="V85" i="1"/>
  <c r="V66" i="1"/>
  <c r="V67" i="1"/>
  <c r="V60" i="1"/>
  <c r="V87" i="1"/>
  <c r="V51" i="1"/>
  <c r="V42" i="1"/>
  <c r="V53" i="1"/>
  <c r="V79" i="1"/>
  <c r="V70" i="1"/>
  <c r="V82" i="1"/>
  <c r="V55" i="1"/>
  <c r="V43" i="1"/>
  <c r="V48" i="1"/>
  <c r="V54" i="1"/>
  <c r="V69" i="1"/>
  <c r="U41" i="1"/>
  <c r="U46" i="1"/>
  <c r="U78" i="1"/>
  <c r="U61" i="1"/>
  <c r="U49" i="1"/>
  <c r="U73" i="1"/>
  <c r="U45" i="1"/>
  <c r="U47" i="1"/>
  <c r="U62" i="1"/>
  <c r="U83" i="1"/>
  <c r="U71" i="1"/>
  <c r="U72" i="1"/>
  <c r="U68" i="1"/>
  <c r="U65" i="1"/>
  <c r="U74" i="1"/>
  <c r="U52" i="1"/>
  <c r="U58" i="1"/>
  <c r="U59" i="1"/>
  <c r="U63" i="1"/>
  <c r="U76" i="1"/>
  <c r="U81" i="1"/>
  <c r="U56" i="1"/>
  <c r="U64" i="1"/>
  <c r="U50" i="1"/>
  <c r="U57" i="1"/>
  <c r="U84" i="1"/>
  <c r="U44" i="1"/>
  <c r="U89" i="1"/>
  <c r="U75" i="1"/>
  <c r="U80" i="1"/>
  <c r="U86" i="1"/>
  <c r="U88" i="1"/>
  <c r="U77" i="1"/>
  <c r="U90" i="1"/>
  <c r="U85" i="1"/>
  <c r="U66" i="1"/>
  <c r="U67" i="1"/>
  <c r="U60" i="1"/>
  <c r="U87" i="1"/>
  <c r="U51" i="1"/>
  <c r="U42" i="1"/>
  <c r="U53" i="1"/>
  <c r="U79" i="1"/>
  <c r="U70" i="1"/>
  <c r="U82" i="1"/>
  <c r="U55" i="1"/>
  <c r="U43" i="1"/>
  <c r="U48" i="1"/>
  <c r="U54" i="1"/>
  <c r="U69" i="1"/>
  <c r="T41" i="1"/>
  <c r="T46" i="1"/>
  <c r="T78" i="1"/>
  <c r="T61" i="1"/>
  <c r="T49" i="1"/>
  <c r="T73" i="1"/>
  <c r="T45" i="1"/>
  <c r="T47" i="1"/>
  <c r="T62" i="1"/>
  <c r="T83" i="1"/>
  <c r="T71" i="1"/>
  <c r="T72" i="1"/>
  <c r="T68" i="1"/>
  <c r="T65" i="1"/>
  <c r="T74" i="1"/>
  <c r="T52" i="1"/>
  <c r="T58" i="1"/>
  <c r="T59" i="1"/>
  <c r="T63" i="1"/>
  <c r="T76" i="1"/>
  <c r="T81" i="1"/>
  <c r="T56" i="1"/>
  <c r="T64" i="1"/>
  <c r="T50" i="1"/>
  <c r="T57" i="1"/>
  <c r="T84" i="1"/>
  <c r="T44" i="1"/>
  <c r="T89" i="1"/>
  <c r="T75" i="1"/>
  <c r="T80" i="1"/>
  <c r="T86" i="1"/>
  <c r="T88" i="1"/>
  <c r="T77" i="1"/>
  <c r="T90" i="1"/>
  <c r="T85" i="1"/>
  <c r="T66" i="1"/>
  <c r="T67" i="1"/>
  <c r="T60" i="1"/>
  <c r="T87" i="1"/>
  <c r="T51" i="1"/>
  <c r="T42" i="1"/>
  <c r="T53" i="1"/>
  <c r="T79" i="1"/>
  <c r="T70" i="1"/>
  <c r="T82" i="1"/>
  <c r="T55" i="1"/>
  <c r="T43" i="1"/>
  <c r="T48" i="1"/>
  <c r="T54" i="1"/>
  <c r="T69" i="1"/>
  <c r="S41" i="1"/>
  <c r="S46" i="1"/>
  <c r="S78" i="1"/>
  <c r="S61" i="1"/>
  <c r="S49" i="1"/>
  <c r="S73" i="1"/>
  <c r="S45" i="1"/>
  <c r="S47" i="1"/>
  <c r="S62" i="1"/>
  <c r="S83" i="1"/>
  <c r="S71" i="1"/>
  <c r="S72" i="1"/>
  <c r="S68" i="1"/>
  <c r="S65" i="1"/>
  <c r="S74" i="1"/>
  <c r="S52" i="1"/>
  <c r="S58" i="1"/>
  <c r="S59" i="1"/>
  <c r="S63" i="1"/>
  <c r="S76" i="1"/>
  <c r="S81" i="1"/>
  <c r="S56" i="1"/>
  <c r="S64" i="1"/>
  <c r="S50" i="1"/>
  <c r="S57" i="1"/>
  <c r="S84" i="1"/>
  <c r="S44" i="1"/>
  <c r="S89" i="1"/>
  <c r="S75" i="1"/>
  <c r="S80" i="1"/>
  <c r="S86" i="1"/>
  <c r="S88" i="1"/>
  <c r="S77" i="1"/>
  <c r="S90" i="1"/>
  <c r="S85" i="1"/>
  <c r="S66" i="1"/>
  <c r="S67" i="1"/>
  <c r="S60" i="1"/>
  <c r="S87" i="1"/>
  <c r="S51" i="1"/>
  <c r="S42" i="1"/>
  <c r="S53" i="1"/>
  <c r="S79" i="1"/>
  <c r="S70" i="1"/>
  <c r="S82" i="1"/>
  <c r="S55" i="1"/>
  <c r="S43" i="1"/>
  <c r="S48" i="1"/>
  <c r="S54" i="1"/>
  <c r="S69" i="1"/>
  <c r="R41" i="1"/>
  <c r="R46" i="1"/>
  <c r="R78" i="1"/>
  <c r="R61" i="1"/>
  <c r="R49" i="1"/>
  <c r="R73" i="1"/>
  <c r="R45" i="1"/>
  <c r="R47" i="1"/>
  <c r="R62" i="1"/>
  <c r="R83" i="1"/>
  <c r="R71" i="1"/>
  <c r="R72" i="1"/>
  <c r="R68" i="1"/>
  <c r="R65" i="1"/>
  <c r="R74" i="1"/>
  <c r="R52" i="1"/>
  <c r="R58" i="1"/>
  <c r="R59" i="1"/>
  <c r="R63" i="1"/>
  <c r="R76" i="1"/>
  <c r="R81" i="1"/>
  <c r="R56" i="1"/>
  <c r="R64" i="1"/>
  <c r="R50" i="1"/>
  <c r="R57" i="1"/>
  <c r="R84" i="1"/>
  <c r="R44" i="1"/>
  <c r="R89" i="1"/>
  <c r="R75" i="1"/>
  <c r="R80" i="1"/>
  <c r="R86" i="1"/>
  <c r="R88" i="1"/>
  <c r="R77" i="1"/>
  <c r="R90" i="1"/>
  <c r="R85" i="1"/>
  <c r="R66" i="1"/>
  <c r="R67" i="1"/>
  <c r="R60" i="1"/>
  <c r="R87" i="1"/>
  <c r="R51" i="1"/>
  <c r="R42" i="1"/>
  <c r="R53" i="1"/>
  <c r="R79" i="1"/>
  <c r="R70" i="1"/>
  <c r="R82" i="1"/>
  <c r="R55" i="1"/>
  <c r="R43" i="1"/>
  <c r="R48" i="1"/>
  <c r="R54" i="1"/>
  <c r="R69" i="1"/>
  <c r="Q41" i="1"/>
  <c r="Q46" i="1"/>
  <c r="Q78" i="1"/>
  <c r="Q61" i="1"/>
  <c r="Q49" i="1"/>
  <c r="Q73" i="1"/>
  <c r="Q45" i="1"/>
  <c r="Q47" i="1"/>
  <c r="Q62" i="1"/>
  <c r="Q83" i="1"/>
  <c r="Q71" i="1"/>
  <c r="Q72" i="1"/>
  <c r="Q68" i="1"/>
  <c r="Q65" i="1"/>
  <c r="Q74" i="1"/>
  <c r="Q52" i="1"/>
  <c r="Q58" i="1"/>
  <c r="Q59" i="1"/>
  <c r="Q63" i="1"/>
  <c r="Q76" i="1"/>
  <c r="Q81" i="1"/>
  <c r="Q56" i="1"/>
  <c r="Q64" i="1"/>
  <c r="Q50" i="1"/>
  <c r="Q57" i="1"/>
  <c r="Q84" i="1"/>
  <c r="Q44" i="1"/>
  <c r="Q89" i="1"/>
  <c r="Q75" i="1"/>
  <c r="Q80" i="1"/>
  <c r="Q86" i="1"/>
  <c r="Q88" i="1"/>
  <c r="Q77" i="1"/>
  <c r="Q90" i="1"/>
  <c r="Q85" i="1"/>
  <c r="Q66" i="1"/>
  <c r="Q67" i="1"/>
  <c r="Q60" i="1"/>
  <c r="Q87" i="1"/>
  <c r="Q51" i="1"/>
  <c r="Q42" i="1"/>
  <c r="Q53" i="1"/>
  <c r="Q79" i="1"/>
  <c r="Q70" i="1"/>
  <c r="Q82" i="1"/>
  <c r="Q55" i="1"/>
  <c r="Q43" i="1"/>
  <c r="Q48" i="1"/>
  <c r="Q54" i="1"/>
  <c r="Q69" i="1"/>
  <c r="P41" i="1"/>
  <c r="P46" i="1"/>
  <c r="P78" i="1"/>
  <c r="P61" i="1"/>
  <c r="P49" i="1"/>
  <c r="P73" i="1"/>
  <c r="P45" i="1"/>
  <c r="P47" i="1"/>
  <c r="P62" i="1"/>
  <c r="P83" i="1"/>
  <c r="P71" i="1"/>
  <c r="P72" i="1"/>
  <c r="P68" i="1"/>
  <c r="P65" i="1"/>
  <c r="P74" i="1"/>
  <c r="P52" i="1"/>
  <c r="P58" i="1"/>
  <c r="P59" i="1"/>
  <c r="P63" i="1"/>
  <c r="P76" i="1"/>
  <c r="P81" i="1"/>
  <c r="P56" i="1"/>
  <c r="P64" i="1"/>
  <c r="P50" i="1"/>
  <c r="P57" i="1"/>
  <c r="P84" i="1"/>
  <c r="P44" i="1"/>
  <c r="P89" i="1"/>
  <c r="P75" i="1"/>
  <c r="P80" i="1"/>
  <c r="P86" i="1"/>
  <c r="P88" i="1"/>
  <c r="P77" i="1"/>
  <c r="P90" i="1"/>
  <c r="P85" i="1"/>
  <c r="P66" i="1"/>
  <c r="P67" i="1"/>
  <c r="P60" i="1"/>
  <c r="P87" i="1"/>
  <c r="P51" i="1"/>
  <c r="P42" i="1"/>
  <c r="P53" i="1"/>
  <c r="P79" i="1"/>
  <c r="P70" i="1"/>
  <c r="P82" i="1"/>
  <c r="P55" i="1"/>
  <c r="P43" i="1"/>
  <c r="P48" i="1"/>
  <c r="P54" i="1"/>
  <c r="P69" i="1"/>
  <c r="O41" i="1"/>
  <c r="O46" i="1"/>
  <c r="O78" i="1"/>
  <c r="O61" i="1"/>
  <c r="O49" i="1"/>
  <c r="O73" i="1"/>
  <c r="O45" i="1"/>
  <c r="O47" i="1"/>
  <c r="O62" i="1"/>
  <c r="O83" i="1"/>
  <c r="O71" i="1"/>
  <c r="O72" i="1"/>
  <c r="O68" i="1"/>
  <c r="O65" i="1"/>
  <c r="O74" i="1"/>
  <c r="O52" i="1"/>
  <c r="O58" i="1"/>
  <c r="O59" i="1"/>
  <c r="O63" i="1"/>
  <c r="O76" i="1"/>
  <c r="O81" i="1"/>
  <c r="O56" i="1"/>
  <c r="O64" i="1"/>
  <c r="O50" i="1"/>
  <c r="O57" i="1"/>
  <c r="O84" i="1"/>
  <c r="O44" i="1"/>
  <c r="O89" i="1"/>
  <c r="O75" i="1"/>
  <c r="O80" i="1"/>
  <c r="O86" i="1"/>
  <c r="O88" i="1"/>
  <c r="O77" i="1"/>
  <c r="O90" i="1"/>
  <c r="O85" i="1"/>
  <c r="O66" i="1"/>
  <c r="O67" i="1"/>
  <c r="O60" i="1"/>
  <c r="O87" i="1"/>
  <c r="O51" i="1"/>
  <c r="O42" i="1"/>
  <c r="O53" i="1"/>
  <c r="O79" i="1"/>
  <c r="O70" i="1"/>
  <c r="O82" i="1"/>
  <c r="O55" i="1"/>
  <c r="O43" i="1"/>
  <c r="O48" i="1"/>
  <c r="O54" i="1"/>
  <c r="O69" i="1"/>
  <c r="N80" i="1"/>
  <c r="N41" i="1"/>
  <c r="N46" i="1"/>
  <c r="N78" i="1"/>
  <c r="N61" i="1"/>
  <c r="N49" i="1"/>
  <c r="N73" i="1"/>
  <c r="N45" i="1"/>
  <c r="N47" i="1"/>
  <c r="N62" i="1"/>
  <c r="N83" i="1"/>
  <c r="N71" i="1"/>
  <c r="N72" i="1"/>
  <c r="N68" i="1"/>
  <c r="N65" i="1"/>
  <c r="N74" i="1"/>
  <c r="N52" i="1"/>
  <c r="N58" i="1"/>
  <c r="N59" i="1"/>
  <c r="N63" i="1"/>
  <c r="N76" i="1"/>
  <c r="N81" i="1"/>
  <c r="N56" i="1"/>
  <c r="N64" i="1"/>
  <c r="N50" i="1"/>
  <c r="N57" i="1"/>
  <c r="N84" i="1"/>
  <c r="N44" i="1"/>
  <c r="N89" i="1"/>
  <c r="N75" i="1"/>
  <c r="N86" i="1"/>
  <c r="N88" i="1"/>
  <c r="N77" i="1"/>
  <c r="N90" i="1"/>
  <c r="N85" i="1"/>
  <c r="N66" i="1"/>
  <c r="N67" i="1"/>
  <c r="N60" i="1"/>
  <c r="N87" i="1"/>
  <c r="N51" i="1"/>
  <c r="N42" i="1"/>
  <c r="N53" i="1"/>
  <c r="N79" i="1"/>
  <c r="N70" i="1"/>
  <c r="N82" i="1"/>
  <c r="N55" i="1"/>
  <c r="N43" i="1"/>
  <c r="N48" i="1"/>
  <c r="N54" i="1"/>
  <c r="N69" i="1"/>
  <c r="M41" i="1"/>
  <c r="M46" i="1"/>
  <c r="M78" i="1"/>
  <c r="M61" i="1"/>
  <c r="M49" i="1"/>
  <c r="M73" i="1"/>
  <c r="M45" i="1"/>
  <c r="M47" i="1"/>
  <c r="M62" i="1"/>
  <c r="M83" i="1"/>
  <c r="M71" i="1"/>
  <c r="M72" i="1"/>
  <c r="M68" i="1"/>
  <c r="M65" i="1"/>
  <c r="M74" i="1"/>
  <c r="M52" i="1"/>
  <c r="M58" i="1"/>
  <c r="M59" i="1"/>
  <c r="M63" i="1"/>
  <c r="M76" i="1"/>
  <c r="M81" i="1"/>
  <c r="M56" i="1"/>
  <c r="M64" i="1"/>
  <c r="M50" i="1"/>
  <c r="M57" i="1"/>
  <c r="M84" i="1"/>
  <c r="M44" i="1"/>
  <c r="M89" i="1"/>
  <c r="M75" i="1"/>
  <c r="M80" i="1"/>
  <c r="M86" i="1"/>
  <c r="M88" i="1"/>
  <c r="M77" i="1"/>
  <c r="M90" i="1"/>
  <c r="M85" i="1"/>
  <c r="M66" i="1"/>
  <c r="M67" i="1"/>
  <c r="M60" i="1"/>
  <c r="M87" i="1"/>
  <c r="M51" i="1"/>
  <c r="M42" i="1"/>
  <c r="M53" i="1"/>
  <c r="M79" i="1"/>
  <c r="M70" i="1"/>
  <c r="M82" i="1"/>
  <c r="M55" i="1"/>
  <c r="M43" i="1"/>
  <c r="M48" i="1"/>
  <c r="M54" i="1"/>
  <c r="M69" i="1"/>
  <c r="L41" i="1" l="1"/>
  <c r="L46" i="1"/>
  <c r="L78" i="1"/>
  <c r="L61" i="1"/>
  <c r="L49" i="1"/>
  <c r="L73" i="1"/>
  <c r="L45" i="1"/>
  <c r="L47" i="1"/>
  <c r="L62" i="1"/>
  <c r="L83" i="1"/>
  <c r="L71" i="1"/>
  <c r="L72" i="1"/>
  <c r="L68" i="1"/>
  <c r="L65" i="1"/>
  <c r="L74" i="1"/>
  <c r="L52" i="1"/>
  <c r="L58" i="1"/>
  <c r="L59" i="1"/>
  <c r="L63" i="1"/>
  <c r="L76" i="1"/>
  <c r="L81" i="1"/>
  <c r="L56" i="1"/>
  <c r="L64" i="1"/>
  <c r="L50" i="1"/>
  <c r="L57" i="1"/>
  <c r="L84" i="1"/>
  <c r="L44" i="1"/>
  <c r="L89" i="1"/>
  <c r="L75" i="1"/>
  <c r="L80" i="1"/>
  <c r="L86" i="1"/>
  <c r="L88" i="1"/>
  <c r="L77" i="1"/>
  <c r="L90" i="1"/>
  <c r="L85" i="1"/>
  <c r="L66" i="1"/>
  <c r="L67" i="1"/>
  <c r="L60" i="1"/>
  <c r="L87" i="1"/>
  <c r="L51" i="1"/>
  <c r="L42" i="1"/>
  <c r="L53" i="1"/>
  <c r="L79" i="1"/>
  <c r="L70" i="1"/>
  <c r="L82" i="1"/>
  <c r="L55" i="1"/>
  <c r="L43" i="1"/>
  <c r="L48" i="1"/>
  <c r="L54" i="1"/>
  <c r="L69" i="1"/>
  <c r="K41" i="1" l="1"/>
  <c r="K46" i="1"/>
  <c r="K78" i="1"/>
  <c r="K61" i="1"/>
  <c r="K49" i="1"/>
  <c r="K73" i="1"/>
  <c r="K45" i="1"/>
  <c r="K47" i="1"/>
  <c r="K62" i="1"/>
  <c r="K83" i="1"/>
  <c r="K71" i="1"/>
  <c r="K72" i="1"/>
  <c r="K68" i="1"/>
  <c r="K65" i="1"/>
  <c r="K74" i="1"/>
  <c r="K52" i="1"/>
  <c r="K58" i="1"/>
  <c r="K59" i="1"/>
  <c r="K63" i="1"/>
  <c r="K76" i="1"/>
  <c r="K81" i="1"/>
  <c r="K56" i="1"/>
  <c r="K64" i="1"/>
  <c r="K50" i="1"/>
  <c r="K57" i="1"/>
  <c r="K84" i="1"/>
  <c r="K44" i="1"/>
  <c r="K89" i="1"/>
  <c r="K75" i="1"/>
  <c r="K80" i="1"/>
  <c r="K86" i="1"/>
  <c r="K88" i="1"/>
  <c r="K77" i="1"/>
  <c r="K90" i="1"/>
  <c r="K85" i="1"/>
  <c r="K66" i="1"/>
  <c r="K67" i="1"/>
  <c r="K60" i="1"/>
  <c r="K87" i="1"/>
  <c r="K51" i="1"/>
  <c r="K42" i="1"/>
  <c r="K53" i="1"/>
  <c r="K79" i="1"/>
  <c r="K70" i="1"/>
  <c r="K82" i="1"/>
  <c r="K55" i="1"/>
  <c r="K43" i="1"/>
  <c r="K48" i="1"/>
  <c r="K54" i="1"/>
  <c r="K69" i="1"/>
  <c r="J41" i="1"/>
  <c r="J46" i="1"/>
  <c r="J78" i="1"/>
  <c r="J61" i="1"/>
  <c r="J49" i="1"/>
  <c r="J73" i="1"/>
  <c r="J45" i="1"/>
  <c r="J47" i="1"/>
  <c r="J62" i="1"/>
  <c r="J83" i="1"/>
  <c r="J71" i="1"/>
  <c r="J72" i="1"/>
  <c r="J68" i="1"/>
  <c r="J65" i="1"/>
  <c r="J74" i="1"/>
  <c r="J52" i="1"/>
  <c r="J58" i="1"/>
  <c r="J59" i="1"/>
  <c r="J63" i="1"/>
  <c r="J76" i="1"/>
  <c r="J81" i="1"/>
  <c r="J56" i="1"/>
  <c r="J64" i="1"/>
  <c r="J50" i="1"/>
  <c r="J57" i="1"/>
  <c r="J84" i="1"/>
  <c r="J44" i="1"/>
  <c r="J89" i="1"/>
  <c r="J75" i="1"/>
  <c r="J80" i="1"/>
  <c r="J86" i="1"/>
  <c r="J88" i="1"/>
  <c r="J77" i="1"/>
  <c r="J90" i="1"/>
  <c r="J85" i="1"/>
  <c r="J66" i="1"/>
  <c r="J67" i="1"/>
  <c r="J60" i="1"/>
  <c r="J87" i="1"/>
  <c r="J51" i="1"/>
  <c r="J42" i="1"/>
  <c r="J53" i="1"/>
  <c r="J79" i="1"/>
  <c r="J70" i="1"/>
  <c r="J82" i="1"/>
  <c r="J55" i="1"/>
  <c r="J43" i="1"/>
  <c r="J48" i="1"/>
  <c r="J54" i="1"/>
  <c r="J69" i="1"/>
  <c r="I41" i="1"/>
  <c r="I46" i="1"/>
  <c r="I78" i="1"/>
  <c r="I61" i="1"/>
  <c r="I49" i="1"/>
  <c r="I73" i="1"/>
  <c r="I45" i="1"/>
  <c r="I47" i="1"/>
  <c r="I62" i="1"/>
  <c r="I83" i="1"/>
  <c r="I71" i="1"/>
  <c r="I72" i="1"/>
  <c r="I68" i="1"/>
  <c r="I65" i="1"/>
  <c r="I74" i="1"/>
  <c r="I52" i="1"/>
  <c r="I58" i="1"/>
  <c r="I59" i="1"/>
  <c r="I63" i="1"/>
  <c r="I76" i="1"/>
  <c r="I81" i="1"/>
  <c r="I56" i="1"/>
  <c r="I64" i="1"/>
  <c r="I50" i="1"/>
  <c r="I57" i="1"/>
  <c r="I84" i="1"/>
  <c r="I44" i="1"/>
  <c r="I89" i="1"/>
  <c r="I75" i="1"/>
  <c r="I80" i="1"/>
  <c r="I86" i="1"/>
  <c r="I88" i="1"/>
  <c r="I77" i="1"/>
  <c r="I90" i="1"/>
  <c r="I85" i="1"/>
  <c r="I66" i="1"/>
  <c r="I67" i="1"/>
  <c r="I60" i="1"/>
  <c r="I87" i="1"/>
  <c r="I51" i="1"/>
  <c r="I42" i="1"/>
  <c r="I53" i="1"/>
  <c r="I79" i="1"/>
  <c r="I70" i="1"/>
  <c r="I82" i="1"/>
  <c r="I55" i="1"/>
  <c r="I43" i="1"/>
  <c r="I48" i="1"/>
  <c r="I54" i="1"/>
  <c r="I69" i="1"/>
  <c r="H41" i="1"/>
  <c r="H46" i="1"/>
  <c r="H78" i="1"/>
  <c r="H61" i="1"/>
  <c r="H49" i="1"/>
  <c r="H73" i="1"/>
  <c r="H45" i="1"/>
  <c r="H47" i="1"/>
  <c r="H62" i="1"/>
  <c r="H83" i="1"/>
  <c r="H71" i="1"/>
  <c r="H72" i="1"/>
  <c r="H68" i="1"/>
  <c r="H65" i="1"/>
  <c r="H74" i="1"/>
  <c r="H52" i="1"/>
  <c r="H58" i="1"/>
  <c r="H59" i="1"/>
  <c r="H63" i="1"/>
  <c r="H76" i="1"/>
  <c r="H81" i="1"/>
  <c r="H56" i="1"/>
  <c r="H64" i="1"/>
  <c r="H50" i="1"/>
  <c r="H57" i="1"/>
  <c r="H84" i="1"/>
  <c r="H44" i="1"/>
  <c r="H89" i="1"/>
  <c r="H75" i="1"/>
  <c r="H80" i="1"/>
  <c r="H86" i="1"/>
  <c r="H88" i="1"/>
  <c r="H77" i="1"/>
  <c r="H90" i="1"/>
  <c r="H85" i="1"/>
  <c r="H66" i="1"/>
  <c r="H67" i="1"/>
  <c r="H60" i="1"/>
  <c r="H87" i="1"/>
  <c r="H51" i="1"/>
  <c r="H42" i="1"/>
  <c r="H53" i="1"/>
  <c r="H79" i="1"/>
  <c r="H70" i="1"/>
  <c r="H82" i="1"/>
  <c r="H55" i="1"/>
  <c r="H43" i="1"/>
  <c r="H48" i="1"/>
  <c r="H54" i="1"/>
  <c r="H69" i="1"/>
  <c r="G41" i="1"/>
  <c r="G46" i="1"/>
  <c r="G78" i="1"/>
  <c r="G61" i="1"/>
  <c r="G49" i="1"/>
  <c r="G73" i="1"/>
  <c r="G45" i="1"/>
  <c r="G47" i="1"/>
  <c r="G62" i="1"/>
  <c r="G83" i="1"/>
  <c r="G71" i="1"/>
  <c r="G72" i="1"/>
  <c r="G68" i="1"/>
  <c r="G65" i="1"/>
  <c r="G74" i="1"/>
  <c r="G52" i="1"/>
  <c r="G58" i="1"/>
  <c r="G59" i="1"/>
  <c r="G63" i="1"/>
  <c r="G76" i="1"/>
  <c r="G81" i="1"/>
  <c r="G56" i="1"/>
  <c r="G64" i="1"/>
  <c r="G50" i="1"/>
  <c r="G57" i="1"/>
  <c r="G84" i="1"/>
  <c r="G44" i="1"/>
  <c r="G89" i="1"/>
  <c r="G75" i="1"/>
  <c r="G80" i="1"/>
  <c r="G86" i="1"/>
  <c r="G88" i="1"/>
  <c r="G77" i="1"/>
  <c r="G90" i="1"/>
  <c r="G85" i="1"/>
  <c r="G66" i="1"/>
  <c r="G67" i="1"/>
  <c r="G60" i="1"/>
  <c r="G87" i="1"/>
  <c r="G51" i="1"/>
  <c r="G42" i="1"/>
  <c r="G53" i="1"/>
  <c r="G79" i="1"/>
  <c r="G70" i="1"/>
  <c r="G82" i="1"/>
  <c r="G55" i="1"/>
  <c r="G43" i="1"/>
  <c r="G48" i="1"/>
  <c r="G54" i="1"/>
  <c r="G69" i="1"/>
  <c r="F60" i="1"/>
  <c r="F41" i="1" l="1"/>
  <c r="F46" i="1" l="1"/>
  <c r="F78" i="1"/>
  <c r="F61" i="1"/>
  <c r="F49" i="1"/>
  <c r="F73" i="1"/>
  <c r="F45" i="1"/>
  <c r="F47" i="1"/>
  <c r="F62" i="1"/>
  <c r="F83" i="1"/>
  <c r="F71" i="1"/>
  <c r="F72" i="1"/>
  <c r="F68" i="1"/>
  <c r="F65" i="1"/>
  <c r="F74" i="1"/>
  <c r="F52" i="1"/>
  <c r="F58" i="1"/>
  <c r="F59" i="1"/>
  <c r="F63" i="1"/>
  <c r="F76" i="1"/>
  <c r="F81" i="1"/>
  <c r="F56" i="1"/>
  <c r="F64" i="1"/>
  <c r="F50" i="1"/>
  <c r="F57" i="1"/>
  <c r="F84" i="1"/>
  <c r="F44" i="1"/>
  <c r="F89" i="1"/>
  <c r="F75" i="1"/>
  <c r="F80" i="1"/>
  <c r="F86" i="1"/>
  <c r="F88" i="1"/>
  <c r="F77" i="1"/>
  <c r="F90" i="1"/>
  <c r="F85" i="1"/>
  <c r="F66" i="1"/>
  <c r="F67" i="1"/>
  <c r="F87" i="1"/>
  <c r="F51" i="1"/>
  <c r="F42" i="1"/>
  <c r="F53" i="1"/>
  <c r="F79" i="1"/>
  <c r="F70" i="1"/>
  <c r="F82" i="1"/>
  <c r="F55" i="1"/>
  <c r="F43" i="1"/>
  <c r="F48" i="1"/>
  <c r="F54" i="1"/>
  <c r="F69" i="1"/>
  <c r="E41" i="1"/>
  <c r="E46" i="1"/>
  <c r="E78" i="1"/>
  <c r="E61" i="1"/>
  <c r="E49" i="1"/>
  <c r="E73" i="1"/>
  <c r="E45" i="1"/>
  <c r="E47" i="1"/>
  <c r="E62" i="1"/>
  <c r="E83" i="1"/>
  <c r="E71" i="1"/>
  <c r="E72" i="1"/>
  <c r="E68" i="1"/>
  <c r="E65" i="1"/>
  <c r="E74" i="1"/>
  <c r="E52" i="1"/>
  <c r="E58" i="1"/>
  <c r="E59" i="1"/>
  <c r="E63" i="1"/>
  <c r="E76" i="1"/>
  <c r="E81" i="1"/>
  <c r="E56" i="1"/>
  <c r="E64" i="1"/>
  <c r="E50" i="1"/>
  <c r="E57" i="1"/>
  <c r="E84" i="1"/>
  <c r="E44" i="1"/>
  <c r="E89" i="1"/>
  <c r="E75" i="1"/>
  <c r="E80" i="1"/>
  <c r="E86" i="1"/>
  <c r="E88" i="1"/>
  <c r="E77" i="1"/>
  <c r="E90" i="1"/>
  <c r="E85" i="1"/>
  <c r="E66" i="1"/>
  <c r="E67" i="1"/>
  <c r="E60" i="1"/>
  <c r="E87" i="1"/>
  <c r="E51" i="1"/>
  <c r="E42" i="1"/>
  <c r="E53" i="1"/>
  <c r="E79" i="1"/>
  <c r="E70" i="1"/>
  <c r="E82" i="1"/>
  <c r="E55" i="1"/>
  <c r="E43" i="1"/>
  <c r="E48" i="1"/>
  <c r="E54" i="1"/>
  <c r="E69" i="1"/>
  <c r="D41" i="1"/>
  <c r="D46" i="1"/>
  <c r="D78" i="1"/>
  <c r="D61" i="1"/>
  <c r="D49" i="1"/>
  <c r="D73" i="1"/>
  <c r="D45" i="1"/>
  <c r="D47" i="1"/>
  <c r="D62" i="1"/>
  <c r="D83" i="1"/>
  <c r="D71" i="1"/>
  <c r="D72" i="1"/>
  <c r="D68" i="1"/>
  <c r="D65" i="1"/>
  <c r="D74" i="1"/>
  <c r="D52" i="1"/>
  <c r="D58" i="1"/>
  <c r="D59" i="1"/>
  <c r="D63" i="1"/>
  <c r="D76" i="1"/>
  <c r="D81" i="1"/>
  <c r="D56" i="1"/>
  <c r="D64" i="1"/>
  <c r="D50" i="1"/>
  <c r="D57" i="1"/>
  <c r="D84" i="1"/>
  <c r="D44" i="1"/>
  <c r="D89" i="1"/>
  <c r="D75" i="1"/>
  <c r="D80" i="1"/>
  <c r="D86" i="1"/>
  <c r="D88" i="1"/>
  <c r="D77" i="1"/>
  <c r="D90" i="1"/>
  <c r="D85" i="1"/>
  <c r="D66" i="1"/>
  <c r="D67" i="1"/>
  <c r="D60" i="1"/>
  <c r="D87" i="1"/>
  <c r="D51" i="1"/>
  <c r="D42" i="1"/>
  <c r="D53" i="1"/>
  <c r="D79" i="1"/>
  <c r="D70" i="1"/>
  <c r="D82" i="1"/>
  <c r="D55" i="1"/>
  <c r="D43" i="1"/>
  <c r="D48" i="1"/>
  <c r="D54" i="1"/>
  <c r="D69" i="1"/>
  <c r="C41" i="1"/>
  <c r="C46" i="1"/>
  <c r="C78" i="1"/>
  <c r="C61" i="1"/>
  <c r="C49" i="1"/>
  <c r="C73" i="1"/>
  <c r="C45" i="1"/>
  <c r="C47" i="1"/>
  <c r="C62" i="1"/>
  <c r="C83" i="1"/>
  <c r="C71" i="1"/>
  <c r="C72" i="1"/>
  <c r="C68" i="1"/>
  <c r="C65" i="1"/>
  <c r="C74" i="1"/>
  <c r="C52" i="1"/>
  <c r="C58" i="1"/>
  <c r="C59" i="1"/>
  <c r="C63" i="1"/>
  <c r="C76" i="1"/>
  <c r="C81" i="1"/>
  <c r="C56" i="1"/>
  <c r="C64" i="1"/>
  <c r="C50" i="1"/>
  <c r="C57" i="1"/>
  <c r="C84" i="1"/>
  <c r="C44" i="1"/>
  <c r="C89" i="1"/>
  <c r="C75" i="1"/>
  <c r="C80" i="1"/>
  <c r="C86" i="1"/>
  <c r="C88" i="1"/>
  <c r="C77" i="1"/>
  <c r="C90" i="1"/>
  <c r="C85" i="1"/>
  <c r="C66" i="1"/>
  <c r="C67" i="1"/>
  <c r="C60" i="1"/>
  <c r="C87" i="1"/>
  <c r="C51" i="1"/>
  <c r="C42" i="1"/>
  <c r="C53" i="1"/>
  <c r="C79" i="1"/>
  <c r="C70" i="1"/>
  <c r="C82" i="1"/>
  <c r="C55" i="1"/>
  <c r="C43" i="1"/>
  <c r="C48" i="1"/>
  <c r="C54" i="1"/>
  <c r="C69" i="1"/>
  <c r="Z5" i="1"/>
  <c r="Z2" i="1"/>
  <c r="Z34" i="1"/>
  <c r="Z32" i="1"/>
  <c r="Z17" i="1"/>
  <c r="Z30" i="1"/>
  <c r="Z12" i="1"/>
  <c r="Z26" i="1"/>
  <c r="Z13" i="1"/>
  <c r="Z21" i="1"/>
  <c r="Z4" i="1"/>
  <c r="Z22" i="1"/>
  <c r="Z35" i="1"/>
  <c r="Z33" i="1"/>
  <c r="Z6" i="1"/>
  <c r="Z27" i="1"/>
  <c r="Z9" i="1"/>
  <c r="Z18" i="1"/>
  <c r="Z28" i="1"/>
  <c r="Z36" i="1"/>
  <c r="Z19" i="1"/>
  <c r="Z11" i="1"/>
  <c r="Z10" i="1"/>
  <c r="Z23" i="1"/>
  <c r="Z24" i="1"/>
  <c r="Z14" i="1"/>
  <c r="Z20" i="1"/>
  <c r="Z25" i="1"/>
  <c r="Z29" i="1"/>
  <c r="Z7" i="1"/>
  <c r="Z15" i="1"/>
  <c r="Z3" i="1"/>
  <c r="Z31" i="1"/>
  <c r="Z16" i="1"/>
  <c r="Z8" i="1"/>
  <c r="Z37" i="1"/>
  <c r="Y5" i="1"/>
  <c r="Y2" i="1"/>
  <c r="Y34" i="1"/>
  <c r="Y32" i="1"/>
  <c r="Y17" i="1"/>
  <c r="Y30" i="1"/>
  <c r="Y12" i="1"/>
  <c r="Y26" i="1"/>
  <c r="Y13" i="1"/>
  <c r="Y21" i="1"/>
  <c r="Y4" i="1"/>
  <c r="Y22" i="1"/>
  <c r="Y35" i="1"/>
  <c r="Y33" i="1"/>
  <c r="Y6" i="1"/>
  <c r="Y27" i="1"/>
  <c r="Y9" i="1"/>
  <c r="Y18" i="1"/>
  <c r="Y28" i="1"/>
  <c r="Y36" i="1"/>
  <c r="Y19" i="1"/>
  <c r="Y11" i="1"/>
  <c r="Y10" i="1"/>
  <c r="Y23" i="1"/>
  <c r="Y24" i="1"/>
  <c r="Y14" i="1"/>
  <c r="Y20" i="1"/>
  <c r="Y25" i="1"/>
  <c r="Y29" i="1"/>
  <c r="Y7" i="1"/>
  <c r="Y15" i="1"/>
  <c r="Y3" i="1"/>
  <c r="Y31" i="1"/>
  <c r="Y16" i="1"/>
  <c r="Y8" i="1"/>
  <c r="Y37" i="1"/>
  <c r="X5" i="1"/>
  <c r="X2" i="1"/>
  <c r="X34" i="1"/>
  <c r="X32" i="1"/>
  <c r="X17" i="1"/>
  <c r="X30" i="1"/>
  <c r="X12" i="1"/>
  <c r="X26" i="1"/>
  <c r="X13" i="1"/>
  <c r="X21" i="1"/>
  <c r="X4" i="1"/>
  <c r="X22" i="1"/>
  <c r="X35" i="1"/>
  <c r="X33" i="1"/>
  <c r="X6" i="1"/>
  <c r="X27" i="1"/>
  <c r="X9" i="1"/>
  <c r="X18" i="1"/>
  <c r="X28" i="1"/>
  <c r="X36" i="1"/>
  <c r="X19" i="1"/>
  <c r="X11" i="1"/>
  <c r="X10" i="1"/>
  <c r="X23" i="1"/>
  <c r="X24" i="1"/>
  <c r="X14" i="1"/>
  <c r="X20" i="1"/>
  <c r="X25" i="1"/>
  <c r="X29" i="1"/>
  <c r="X7" i="1"/>
  <c r="X15" i="1"/>
  <c r="X3" i="1"/>
  <c r="X31" i="1"/>
  <c r="X16" i="1"/>
  <c r="X8" i="1"/>
  <c r="X37" i="1"/>
  <c r="W5" i="1"/>
  <c r="W2" i="1"/>
  <c r="W34" i="1"/>
  <c r="W32" i="1"/>
  <c r="W17" i="1"/>
  <c r="W30" i="1"/>
  <c r="W12" i="1"/>
  <c r="W26" i="1"/>
  <c r="W13" i="1"/>
  <c r="W21" i="1"/>
  <c r="W4" i="1"/>
  <c r="W22" i="1"/>
  <c r="W35" i="1"/>
  <c r="W33" i="1"/>
  <c r="W6" i="1"/>
  <c r="W27" i="1"/>
  <c r="W9" i="1"/>
  <c r="W18" i="1"/>
  <c r="W28" i="1"/>
  <c r="W36" i="1"/>
  <c r="W19" i="1"/>
  <c r="W11" i="1"/>
  <c r="W10" i="1"/>
  <c r="W23" i="1"/>
  <c r="W24" i="1"/>
  <c r="W14" i="1"/>
  <c r="W20" i="1"/>
  <c r="W25" i="1"/>
  <c r="W29" i="1"/>
  <c r="W7" i="1"/>
  <c r="W15" i="1"/>
  <c r="W3" i="1"/>
  <c r="W31" i="1"/>
  <c r="W16" i="1"/>
  <c r="W8" i="1"/>
  <c r="W37" i="1"/>
  <c r="U5" i="1"/>
  <c r="U2" i="1"/>
  <c r="U34" i="1"/>
  <c r="U32" i="1"/>
  <c r="U17" i="1"/>
  <c r="U30" i="1"/>
  <c r="U12" i="1"/>
  <c r="U26" i="1"/>
  <c r="U13" i="1"/>
  <c r="U21" i="1"/>
  <c r="U4" i="1"/>
  <c r="U22" i="1"/>
  <c r="U35" i="1"/>
  <c r="U33" i="1"/>
  <c r="U6" i="1"/>
  <c r="U27" i="1"/>
  <c r="U9" i="1"/>
  <c r="U18" i="1"/>
  <c r="U28" i="1"/>
  <c r="U36" i="1"/>
  <c r="U19" i="1"/>
  <c r="U11" i="1"/>
  <c r="U10" i="1"/>
  <c r="U23" i="1"/>
  <c r="U24" i="1"/>
  <c r="U14" i="1"/>
  <c r="U20" i="1"/>
  <c r="U25" i="1"/>
  <c r="U29" i="1"/>
  <c r="U7" i="1"/>
  <c r="U15" i="1"/>
  <c r="U3" i="1"/>
  <c r="U31" i="1"/>
  <c r="U16" i="1"/>
  <c r="U8" i="1"/>
  <c r="U37" i="1"/>
  <c r="T5" i="1"/>
  <c r="T2" i="1"/>
  <c r="T34" i="1"/>
  <c r="T32" i="1"/>
  <c r="T17" i="1"/>
  <c r="T30" i="1"/>
  <c r="T12" i="1"/>
  <c r="T26" i="1"/>
  <c r="T13" i="1"/>
  <c r="T21" i="1"/>
  <c r="T4" i="1"/>
  <c r="T22" i="1"/>
  <c r="T35" i="1"/>
  <c r="T33" i="1"/>
  <c r="T6" i="1"/>
  <c r="T27" i="1"/>
  <c r="T9" i="1"/>
  <c r="T18" i="1"/>
  <c r="T28" i="1"/>
  <c r="T36" i="1"/>
  <c r="T19" i="1"/>
  <c r="T11" i="1"/>
  <c r="T10" i="1"/>
  <c r="T23" i="1"/>
  <c r="T24" i="1"/>
  <c r="T14" i="1"/>
  <c r="T20" i="1"/>
  <c r="T25" i="1"/>
  <c r="T29" i="1"/>
  <c r="T7" i="1"/>
  <c r="T15" i="1"/>
  <c r="T3" i="1"/>
  <c r="T31" i="1"/>
  <c r="T16" i="1"/>
  <c r="T8" i="1"/>
  <c r="T37" i="1"/>
  <c r="S5" i="1"/>
  <c r="S2" i="1"/>
  <c r="S34" i="1"/>
  <c r="S32" i="1"/>
  <c r="S17" i="1"/>
  <c r="S30" i="1"/>
  <c r="S12" i="1"/>
  <c r="S26" i="1"/>
  <c r="S13" i="1"/>
  <c r="S21" i="1"/>
  <c r="S4" i="1"/>
  <c r="S22" i="1"/>
  <c r="S35" i="1"/>
  <c r="S33" i="1"/>
  <c r="S6" i="1"/>
  <c r="S27" i="1"/>
  <c r="S9" i="1"/>
  <c r="S18" i="1"/>
  <c r="S28" i="1"/>
  <c r="S36" i="1"/>
  <c r="S19" i="1"/>
  <c r="S11" i="1"/>
  <c r="S10" i="1"/>
  <c r="S23" i="1"/>
  <c r="S24" i="1"/>
  <c r="S14" i="1"/>
  <c r="S20" i="1"/>
  <c r="S25" i="1"/>
  <c r="S29" i="1"/>
  <c r="S7" i="1"/>
  <c r="S15" i="1"/>
  <c r="S3" i="1"/>
  <c r="S31" i="1"/>
  <c r="S16" i="1"/>
  <c r="S8" i="1"/>
  <c r="S37" i="1"/>
  <c r="R5" i="1"/>
  <c r="R2" i="1"/>
  <c r="R34" i="1"/>
  <c r="R32" i="1"/>
  <c r="R17" i="1"/>
  <c r="R30" i="1"/>
  <c r="R12" i="1"/>
  <c r="R26" i="1"/>
  <c r="R13" i="1"/>
  <c r="R21" i="1"/>
  <c r="R4" i="1"/>
  <c r="R22" i="1"/>
  <c r="R35" i="1"/>
  <c r="R33" i="1"/>
  <c r="R6" i="1"/>
  <c r="R27" i="1"/>
  <c r="R9" i="1"/>
  <c r="R18" i="1"/>
  <c r="R28" i="1"/>
  <c r="R36" i="1"/>
  <c r="R19" i="1"/>
  <c r="R11" i="1"/>
  <c r="R10" i="1"/>
  <c r="R23" i="1"/>
  <c r="R24" i="1"/>
  <c r="R14" i="1"/>
  <c r="R20" i="1"/>
  <c r="R25" i="1"/>
  <c r="R29" i="1"/>
  <c r="R7" i="1"/>
  <c r="R15" i="1"/>
  <c r="R3" i="1"/>
  <c r="R31" i="1"/>
  <c r="R16" i="1"/>
  <c r="R8" i="1"/>
  <c r="R37" i="1"/>
  <c r="Q5" i="1"/>
  <c r="Q2" i="1"/>
  <c r="Q34" i="1"/>
  <c r="Q32" i="1"/>
  <c r="Q17" i="1"/>
  <c r="Q30" i="1"/>
  <c r="Q12" i="1"/>
  <c r="Q26" i="1"/>
  <c r="Q13" i="1"/>
  <c r="Q21" i="1"/>
  <c r="Q4" i="1"/>
  <c r="Q22" i="1"/>
  <c r="Q35" i="1"/>
  <c r="Q33" i="1"/>
  <c r="Q6" i="1"/>
  <c r="Q27" i="1"/>
  <c r="Q9" i="1"/>
  <c r="Q18" i="1"/>
  <c r="Q28" i="1"/>
  <c r="Q36" i="1"/>
  <c r="Q19" i="1"/>
  <c r="Q11" i="1"/>
  <c r="Q10" i="1"/>
  <c r="Q23" i="1"/>
  <c r="Q24" i="1"/>
  <c r="Q14" i="1"/>
  <c r="Q20" i="1"/>
  <c r="Q25" i="1"/>
  <c r="Q29" i="1"/>
  <c r="Q7" i="1"/>
  <c r="Q15" i="1"/>
  <c r="Q3" i="1"/>
  <c r="Q31" i="1"/>
  <c r="Q16" i="1"/>
  <c r="Q8" i="1"/>
  <c r="Q37" i="1"/>
  <c r="P5" i="1"/>
  <c r="P2" i="1"/>
  <c r="P34" i="1"/>
  <c r="P32" i="1"/>
  <c r="P17" i="1"/>
  <c r="P30" i="1"/>
  <c r="P12" i="1"/>
  <c r="P26" i="1"/>
  <c r="P13" i="1"/>
  <c r="P21" i="1"/>
  <c r="P4" i="1"/>
  <c r="P22" i="1"/>
  <c r="P35" i="1"/>
  <c r="P33" i="1"/>
  <c r="P6" i="1"/>
  <c r="P27" i="1"/>
  <c r="P9" i="1"/>
  <c r="P18" i="1"/>
  <c r="P28" i="1"/>
  <c r="P36" i="1"/>
  <c r="P19" i="1"/>
  <c r="P11" i="1"/>
  <c r="P10" i="1"/>
  <c r="P23" i="1"/>
  <c r="P24" i="1"/>
  <c r="P14" i="1"/>
  <c r="P20" i="1"/>
  <c r="P25" i="1"/>
  <c r="P29" i="1"/>
  <c r="P7" i="1"/>
  <c r="P15" i="1"/>
  <c r="P3" i="1"/>
  <c r="P31" i="1"/>
  <c r="P16" i="1"/>
  <c r="P8" i="1"/>
  <c r="P37" i="1"/>
  <c r="O5" i="1"/>
  <c r="O2" i="1"/>
  <c r="O34" i="1"/>
  <c r="O32" i="1"/>
  <c r="O17" i="1"/>
  <c r="O30" i="1"/>
  <c r="O12" i="1"/>
  <c r="O26" i="1"/>
  <c r="O13" i="1"/>
  <c r="O21" i="1"/>
  <c r="O4" i="1"/>
  <c r="O22" i="1"/>
  <c r="O35" i="1"/>
  <c r="O33" i="1"/>
  <c r="O6" i="1"/>
  <c r="O27" i="1"/>
  <c r="O9" i="1"/>
  <c r="O18" i="1"/>
  <c r="O28" i="1"/>
  <c r="O36" i="1"/>
  <c r="O19" i="1"/>
  <c r="O11" i="1"/>
  <c r="O10" i="1"/>
  <c r="O23" i="1"/>
  <c r="O24" i="1"/>
  <c r="O14" i="1"/>
  <c r="O20" i="1"/>
  <c r="O25" i="1"/>
  <c r="O29" i="1"/>
  <c r="O7" i="1"/>
  <c r="O15" i="1"/>
  <c r="O3" i="1"/>
  <c r="O31" i="1"/>
  <c r="O16" i="1"/>
  <c r="O8" i="1"/>
  <c r="O37" i="1"/>
  <c r="N5" i="1"/>
  <c r="N2" i="1"/>
  <c r="N34" i="1"/>
  <c r="N32" i="1"/>
  <c r="N17" i="1"/>
  <c r="N30" i="1"/>
  <c r="N12" i="1"/>
  <c r="N26" i="1"/>
  <c r="N13" i="1"/>
  <c r="N21" i="1"/>
  <c r="N4" i="1"/>
  <c r="N22" i="1"/>
  <c r="N35" i="1"/>
  <c r="N33" i="1"/>
  <c r="N6" i="1"/>
  <c r="N27" i="1"/>
  <c r="N9" i="1"/>
  <c r="N18" i="1"/>
  <c r="N28" i="1"/>
  <c r="N36" i="1"/>
  <c r="N19" i="1"/>
  <c r="N11" i="1"/>
  <c r="N10" i="1"/>
  <c r="N23" i="1"/>
  <c r="N24" i="1"/>
  <c r="N14" i="1"/>
  <c r="N20" i="1"/>
  <c r="N25" i="1"/>
  <c r="N29" i="1"/>
  <c r="N7" i="1"/>
  <c r="N15" i="1"/>
  <c r="N3" i="1"/>
  <c r="N31" i="1"/>
  <c r="N16" i="1"/>
  <c r="N8" i="1"/>
  <c r="N37" i="1"/>
  <c r="M5" i="1"/>
  <c r="M2" i="1"/>
  <c r="M34" i="1"/>
  <c r="M32" i="1"/>
  <c r="M17" i="1"/>
  <c r="M30" i="1"/>
  <c r="M12" i="1"/>
  <c r="M26" i="1"/>
  <c r="M13" i="1"/>
  <c r="M21" i="1"/>
  <c r="M4" i="1"/>
  <c r="M22" i="1"/>
  <c r="M35" i="1"/>
  <c r="M33" i="1"/>
  <c r="M6" i="1"/>
  <c r="M27" i="1"/>
  <c r="M9" i="1"/>
  <c r="M18" i="1"/>
  <c r="M28" i="1"/>
  <c r="M36" i="1"/>
  <c r="M19" i="1"/>
  <c r="M11" i="1"/>
  <c r="M10" i="1"/>
  <c r="M23" i="1"/>
  <c r="M24" i="1"/>
  <c r="M14" i="1"/>
  <c r="M20" i="1"/>
  <c r="M25" i="1"/>
  <c r="M29" i="1"/>
  <c r="M7" i="1"/>
  <c r="M15" i="1"/>
  <c r="M3" i="1"/>
  <c r="M31" i="1"/>
  <c r="M16" i="1"/>
  <c r="M8" i="1"/>
  <c r="M37" i="1"/>
  <c r="L5" i="1" l="1"/>
  <c r="L2" i="1"/>
  <c r="L34" i="1"/>
  <c r="L32" i="1"/>
  <c r="L17" i="1"/>
  <c r="L30" i="1"/>
  <c r="L12" i="1"/>
  <c r="L26" i="1"/>
  <c r="L13" i="1"/>
  <c r="L21" i="1"/>
  <c r="L4" i="1"/>
  <c r="L22" i="1"/>
  <c r="L35" i="1"/>
  <c r="L33" i="1"/>
  <c r="L6" i="1"/>
  <c r="L27" i="1"/>
  <c r="L9" i="1"/>
  <c r="L18" i="1"/>
  <c r="L28" i="1"/>
  <c r="L36" i="1"/>
  <c r="L19" i="1"/>
  <c r="L11" i="1"/>
  <c r="L10" i="1"/>
  <c r="L23" i="1"/>
  <c r="L24" i="1"/>
  <c r="L14" i="1"/>
  <c r="L20" i="1"/>
  <c r="L25" i="1"/>
  <c r="L29" i="1"/>
  <c r="L7" i="1"/>
  <c r="L15" i="1"/>
  <c r="L3" i="1"/>
  <c r="L31" i="1"/>
  <c r="L16" i="1"/>
  <c r="L8" i="1"/>
  <c r="L37" i="1"/>
  <c r="K5" i="1"/>
  <c r="K2" i="1"/>
  <c r="K34" i="1"/>
  <c r="K32" i="1"/>
  <c r="K17" i="1"/>
  <c r="K30" i="1"/>
  <c r="K12" i="1"/>
  <c r="K26" i="1"/>
  <c r="K13" i="1"/>
  <c r="K21" i="1"/>
  <c r="K4" i="1"/>
  <c r="K22" i="1"/>
  <c r="K35" i="1"/>
  <c r="K33" i="1"/>
  <c r="K6" i="1"/>
  <c r="K27" i="1"/>
  <c r="K9" i="1"/>
  <c r="K18" i="1"/>
  <c r="K28" i="1"/>
  <c r="K36" i="1"/>
  <c r="K19" i="1"/>
  <c r="K11" i="1"/>
  <c r="K10" i="1"/>
  <c r="K23" i="1"/>
  <c r="K24" i="1"/>
  <c r="K14" i="1"/>
  <c r="K20" i="1"/>
  <c r="K25" i="1"/>
  <c r="K29" i="1"/>
  <c r="K7" i="1"/>
  <c r="K15" i="1"/>
  <c r="K3" i="1"/>
  <c r="K31" i="1"/>
  <c r="K16" i="1"/>
  <c r="K8" i="1"/>
  <c r="K37" i="1"/>
  <c r="J5" i="1"/>
  <c r="J2" i="1"/>
  <c r="J34" i="1"/>
  <c r="J32" i="1"/>
  <c r="J17" i="1"/>
  <c r="J30" i="1"/>
  <c r="J12" i="1"/>
  <c r="J26" i="1"/>
  <c r="J13" i="1"/>
  <c r="J21" i="1"/>
  <c r="J4" i="1"/>
  <c r="J22" i="1"/>
  <c r="J35" i="1"/>
  <c r="J33" i="1"/>
  <c r="J6" i="1"/>
  <c r="J27" i="1"/>
  <c r="J9" i="1"/>
  <c r="J18" i="1"/>
  <c r="J28" i="1"/>
  <c r="J36" i="1"/>
  <c r="J19" i="1"/>
  <c r="J11" i="1"/>
  <c r="J10" i="1"/>
  <c r="J23" i="1"/>
  <c r="J24" i="1"/>
  <c r="J14" i="1"/>
  <c r="J20" i="1"/>
  <c r="J25" i="1"/>
  <c r="J29" i="1"/>
  <c r="J7" i="1"/>
  <c r="J15" i="1"/>
  <c r="J3" i="1"/>
  <c r="J31" i="1"/>
  <c r="J16" i="1"/>
  <c r="J8" i="1"/>
  <c r="J37" i="1"/>
  <c r="I5" i="1"/>
  <c r="I2" i="1"/>
  <c r="I34" i="1"/>
  <c r="I32" i="1"/>
  <c r="I17" i="1"/>
  <c r="I30" i="1"/>
  <c r="I12" i="1"/>
  <c r="I26" i="1"/>
  <c r="I13" i="1"/>
  <c r="I21" i="1"/>
  <c r="I4" i="1"/>
  <c r="I22" i="1"/>
  <c r="I35" i="1"/>
  <c r="I33" i="1"/>
  <c r="I6" i="1"/>
  <c r="I27" i="1"/>
  <c r="I9" i="1"/>
  <c r="I18" i="1"/>
  <c r="I28" i="1"/>
  <c r="I36" i="1"/>
  <c r="I19" i="1"/>
  <c r="I11" i="1"/>
  <c r="I10" i="1"/>
  <c r="I23" i="1"/>
  <c r="I24" i="1"/>
  <c r="I14" i="1"/>
  <c r="I20" i="1"/>
  <c r="I25" i="1"/>
  <c r="I29" i="1"/>
  <c r="I7" i="1"/>
  <c r="I15" i="1"/>
  <c r="I3" i="1"/>
  <c r="I31" i="1"/>
  <c r="I16" i="1"/>
  <c r="I8" i="1"/>
  <c r="I37" i="1"/>
  <c r="H5" i="1"/>
  <c r="H2" i="1"/>
  <c r="H34" i="1"/>
  <c r="H32" i="1"/>
  <c r="H17" i="1"/>
  <c r="H30" i="1"/>
  <c r="H12" i="1"/>
  <c r="H26" i="1"/>
  <c r="H13" i="1"/>
  <c r="H21" i="1"/>
  <c r="H4" i="1"/>
  <c r="H22" i="1"/>
  <c r="H35" i="1"/>
  <c r="H33" i="1"/>
  <c r="H6" i="1"/>
  <c r="H27" i="1"/>
  <c r="H9" i="1"/>
  <c r="H18" i="1"/>
  <c r="H28" i="1"/>
  <c r="H36" i="1"/>
  <c r="H19" i="1"/>
  <c r="H11" i="1"/>
  <c r="H10" i="1"/>
  <c r="H23" i="1"/>
  <c r="H24" i="1"/>
  <c r="H14" i="1"/>
  <c r="H20" i="1"/>
  <c r="H25" i="1"/>
  <c r="H29" i="1"/>
  <c r="H7" i="1"/>
  <c r="H15" i="1"/>
  <c r="H3" i="1"/>
  <c r="H31" i="1"/>
  <c r="H16" i="1"/>
  <c r="H8" i="1"/>
  <c r="H37" i="1"/>
  <c r="G5" i="1"/>
  <c r="G2" i="1"/>
  <c r="G34" i="1"/>
  <c r="G32" i="1"/>
  <c r="G17" i="1"/>
  <c r="G30" i="1"/>
  <c r="G12" i="1"/>
  <c r="G26" i="1"/>
  <c r="G13" i="1"/>
  <c r="G21" i="1"/>
  <c r="G4" i="1"/>
  <c r="G22" i="1"/>
  <c r="G35" i="1"/>
  <c r="G33" i="1"/>
  <c r="G6" i="1"/>
  <c r="G27" i="1"/>
  <c r="G9" i="1"/>
  <c r="G18" i="1"/>
  <c r="G28" i="1"/>
  <c r="G36" i="1"/>
  <c r="G19" i="1"/>
  <c r="G11" i="1"/>
  <c r="G10" i="1"/>
  <c r="G23" i="1"/>
  <c r="G24" i="1"/>
  <c r="G14" i="1"/>
  <c r="G20" i="1"/>
  <c r="G25" i="1"/>
  <c r="G29" i="1"/>
  <c r="G7" i="1"/>
  <c r="G15" i="1"/>
  <c r="G3" i="1"/>
  <c r="G31" i="1"/>
  <c r="G16" i="1"/>
  <c r="G8" i="1"/>
  <c r="G37" i="1"/>
  <c r="F5" i="1"/>
  <c r="F2" i="1"/>
  <c r="F34" i="1"/>
  <c r="F32" i="1"/>
  <c r="F17" i="1"/>
  <c r="F30" i="1"/>
  <c r="F12" i="1"/>
  <c r="F26" i="1"/>
  <c r="F13" i="1"/>
  <c r="F21" i="1"/>
  <c r="F4" i="1"/>
  <c r="F22" i="1"/>
  <c r="F35" i="1"/>
  <c r="F33" i="1"/>
  <c r="F6" i="1"/>
  <c r="F27" i="1"/>
  <c r="F9" i="1"/>
  <c r="F18" i="1"/>
  <c r="F28" i="1"/>
  <c r="F36" i="1"/>
  <c r="F19" i="1"/>
  <c r="F11" i="1"/>
  <c r="F10" i="1"/>
  <c r="F23" i="1"/>
  <c r="F24" i="1"/>
  <c r="F14" i="1"/>
  <c r="F20" i="1"/>
  <c r="F25" i="1"/>
  <c r="F29" i="1"/>
  <c r="F7" i="1"/>
  <c r="F15" i="1"/>
  <c r="F3" i="1"/>
  <c r="F31" i="1"/>
  <c r="F16" i="1"/>
  <c r="F8" i="1"/>
  <c r="F37" i="1"/>
  <c r="E2" i="1"/>
  <c r="E5" i="1"/>
  <c r="E11" i="1"/>
  <c r="E10" i="1"/>
  <c r="E23" i="1"/>
  <c r="E24" i="1"/>
  <c r="E14" i="1"/>
  <c r="E20" i="1"/>
  <c r="E29" i="1"/>
  <c r="E15" i="1"/>
  <c r="E3" i="1"/>
  <c r="E31" i="1"/>
  <c r="E16" i="1"/>
  <c r="E8" i="1"/>
  <c r="E37" i="1"/>
  <c r="E30" i="1"/>
  <c r="E12" i="1"/>
  <c r="E26" i="1"/>
  <c r="E13" i="1"/>
  <c r="E21" i="1"/>
  <c r="E4" i="1"/>
  <c r="E22" i="1"/>
  <c r="E35" i="1"/>
  <c r="E33" i="1"/>
  <c r="E6" i="1"/>
  <c r="E27" i="1"/>
  <c r="E9" i="1"/>
  <c r="E28" i="1"/>
  <c r="E36" i="1"/>
  <c r="E17" i="1"/>
  <c r="E32" i="1" l="1"/>
  <c r="D37" i="1"/>
  <c r="D8" i="1"/>
  <c r="D16" i="1"/>
  <c r="D31" i="1"/>
  <c r="D3" i="1"/>
  <c r="D15" i="1"/>
  <c r="D29" i="1"/>
  <c r="D25" i="1"/>
  <c r="D20" i="1"/>
  <c r="D14" i="1"/>
  <c r="D24" i="1"/>
  <c r="D23" i="1"/>
  <c r="D10" i="1"/>
  <c r="D11" i="1"/>
  <c r="D19" i="1"/>
  <c r="D36" i="1"/>
  <c r="D28" i="1"/>
  <c r="D18" i="1"/>
  <c r="D9" i="1"/>
  <c r="D27" i="1"/>
  <c r="D6" i="1"/>
  <c r="D33" i="1"/>
  <c r="D35" i="1"/>
  <c r="D22" i="1"/>
  <c r="D4" i="1"/>
  <c r="D21" i="1"/>
  <c r="D13" i="1"/>
  <c r="D26" i="1"/>
  <c r="D12" i="1"/>
  <c r="D30" i="1"/>
  <c r="D17" i="1"/>
  <c r="D32" i="1"/>
  <c r="D34" i="1"/>
  <c r="D2" i="1"/>
  <c r="D5" i="1"/>
  <c r="C5" i="1"/>
  <c r="C37" i="1" l="1"/>
  <c r="C8" i="1"/>
  <c r="C16" i="1"/>
  <c r="C31" i="1"/>
  <c r="C3" i="1"/>
  <c r="C15" i="1"/>
  <c r="C7" i="1"/>
  <c r="C29" i="1"/>
  <c r="C25" i="1"/>
  <c r="C20" i="1"/>
  <c r="C14" i="1"/>
  <c r="C24" i="1"/>
  <c r="C23" i="1"/>
  <c r="C10" i="1"/>
  <c r="C11" i="1"/>
  <c r="C19" i="1"/>
  <c r="C36" i="1"/>
  <c r="C28" i="1"/>
  <c r="C18" i="1"/>
  <c r="C9" i="1"/>
  <c r="C27" i="1"/>
  <c r="C6" i="1"/>
  <c r="C33" i="1"/>
  <c r="C35" i="1"/>
  <c r="C22" i="1"/>
  <c r="C4" i="1"/>
  <c r="C21" i="1"/>
  <c r="C13" i="1"/>
  <c r="C26" i="1"/>
  <c r="C12" i="1"/>
  <c r="C30" i="1"/>
  <c r="C32" i="1"/>
  <c r="C34" i="1"/>
  <c r="C2" i="1"/>
  <c r="D161" i="1"/>
  <c r="D163" i="1" s="1"/>
  <c r="E161" i="1"/>
  <c r="E163" i="1" s="1"/>
  <c r="L161" i="1"/>
  <c r="L163" i="1" s="1"/>
  <c r="K161" i="1"/>
  <c r="K163" i="1" s="1"/>
  <c r="J161" i="1"/>
  <c r="J163" i="1" s="1"/>
  <c r="I161" i="1"/>
  <c r="I163" i="1" s="1"/>
  <c r="H161" i="1"/>
  <c r="H163" i="1" s="1"/>
  <c r="G161" i="1"/>
  <c r="G163" i="1" s="1"/>
  <c r="F161" i="1"/>
  <c r="F163" i="1" s="1"/>
  <c r="T161" i="1"/>
  <c r="T163" i="1" s="1"/>
  <c r="S161" i="1"/>
  <c r="S163" i="1" s="1"/>
  <c r="R161" i="1"/>
  <c r="R163" i="1" s="1"/>
  <c r="Z161" i="1"/>
  <c r="Z163" i="1" s="1"/>
  <c r="Q161" i="1"/>
  <c r="Q163" i="1" s="1"/>
  <c r="Y161" i="1"/>
  <c r="Y163" i="1" s="1"/>
  <c r="P161" i="1"/>
  <c r="P163" i="1" s="1"/>
  <c r="X161" i="1"/>
  <c r="X163" i="1" s="1"/>
  <c r="O161" i="1"/>
  <c r="O163" i="1" s="1"/>
  <c r="W161" i="1"/>
  <c r="W163" i="1" s="1"/>
  <c r="N161" i="1"/>
  <c r="N163" i="1" s="1"/>
  <c r="U161" i="1"/>
  <c r="U163" i="1" s="1"/>
  <c r="M161" i="1"/>
  <c r="M163" i="1" s="1"/>
  <c r="V161" i="1"/>
  <c r="V163" i="1" s="1"/>
  <c r="AD161" i="1"/>
  <c r="AD163" i="1" s="1"/>
  <c r="AB161" i="1"/>
  <c r="AB163" i="1" s="1"/>
  <c r="AA161" i="1"/>
  <c r="AA163" i="1" s="1"/>
  <c r="AC161" i="1"/>
  <c r="AC163" i="1" s="1"/>
  <c r="C161" i="1" l="1"/>
  <c r="C163" i="1" s="1"/>
</calcChain>
</file>

<file path=xl/sharedStrings.xml><?xml version="1.0" encoding="utf-8"?>
<sst xmlns="http://schemas.openxmlformats.org/spreadsheetml/2006/main" count="174" uniqueCount="174">
  <si>
    <t>Продукт</t>
  </si>
  <si>
    <t>Количество</t>
  </si>
  <si>
    <t>Белок</t>
  </si>
  <si>
    <t>Клетчатка</t>
  </si>
  <si>
    <t>Сахара</t>
  </si>
  <si>
    <t>Кальций</t>
  </si>
  <si>
    <t>Железо</t>
  </si>
  <si>
    <t>Магний</t>
  </si>
  <si>
    <t>Фосфор</t>
  </si>
  <si>
    <t>Калий</t>
  </si>
  <si>
    <t>Натрий</t>
  </si>
  <si>
    <t>Цинк</t>
  </si>
  <si>
    <t>Медь</t>
  </si>
  <si>
    <t>Марганец</t>
  </si>
  <si>
    <t>Селен</t>
  </si>
  <si>
    <t>Витамин С</t>
  </si>
  <si>
    <t>Витамин В1</t>
  </si>
  <si>
    <t>Витамин В2</t>
  </si>
  <si>
    <t>Витамин В3</t>
  </si>
  <si>
    <t>Витамин В4</t>
  </si>
  <si>
    <t>Витамин В5</t>
  </si>
  <si>
    <t>Витамин В6</t>
  </si>
  <si>
    <t>Витамин В9</t>
  </si>
  <si>
    <t>Витамин А</t>
  </si>
  <si>
    <t>Витамин Е</t>
  </si>
  <si>
    <t>Витамин К</t>
  </si>
  <si>
    <t>Жиры</t>
  </si>
  <si>
    <t>НЖК</t>
  </si>
  <si>
    <t>МНЖК</t>
  </si>
  <si>
    <t>ПНЖК</t>
  </si>
  <si>
    <t>Авокадо</t>
  </si>
  <si>
    <t>Финик</t>
  </si>
  <si>
    <t>Гранат</t>
  </si>
  <si>
    <t>Абрикос</t>
  </si>
  <si>
    <t>Ежевика</t>
  </si>
  <si>
    <t>Смородина черная</t>
  </si>
  <si>
    <t>Шелковица</t>
  </si>
  <si>
    <t>Киви</t>
  </si>
  <si>
    <t>Малина</t>
  </si>
  <si>
    <t>Лимон</t>
  </si>
  <si>
    <t>Банан</t>
  </si>
  <si>
    <t>Вишня</t>
  </si>
  <si>
    <t>Нектарин</t>
  </si>
  <si>
    <t>Фейхоа</t>
  </si>
  <si>
    <t>Черешня</t>
  </si>
  <si>
    <t>Апельсин</t>
  </si>
  <si>
    <t>Клемантин</t>
  </si>
  <si>
    <t>Крыжовник</t>
  </si>
  <si>
    <t>Персик</t>
  </si>
  <si>
    <t>Голубика</t>
  </si>
  <si>
    <t>Грейпфрут</t>
  </si>
  <si>
    <t>Манго</t>
  </si>
  <si>
    <t>Мандарин</t>
  </si>
  <si>
    <t>Помело</t>
  </si>
  <si>
    <t>Виноград</t>
  </si>
  <si>
    <t>Инжир (свежий)</t>
  </si>
  <si>
    <t>Клубника</t>
  </si>
  <si>
    <t>Слива</t>
  </si>
  <si>
    <t>Арбуз</t>
  </si>
  <si>
    <t>Хурма</t>
  </si>
  <si>
    <t>Ананас</t>
  </si>
  <si>
    <t>Дыня</t>
  </si>
  <si>
    <t>Айва</t>
  </si>
  <si>
    <t>Груша</t>
  </si>
  <si>
    <t>Клюква</t>
  </si>
  <si>
    <t>Яблоко</t>
  </si>
  <si>
    <t>Агар</t>
  </si>
  <si>
    <t>Спирулина</t>
  </si>
  <si>
    <t>Чеснок</t>
  </si>
  <si>
    <t>Нори (порфира)</t>
  </si>
  <si>
    <t>Брюссельская капуста</t>
  </si>
  <si>
    <t>Артишок</t>
  </si>
  <si>
    <t>Вакамэ (ундария перистая)</t>
  </si>
  <si>
    <t>Шпинат</t>
  </si>
  <si>
    <t>Брокколи</t>
  </si>
  <si>
    <t>Лук-шалот</t>
  </si>
  <si>
    <t>Спаржа</t>
  </si>
  <si>
    <t>Капуста савойская</t>
  </si>
  <si>
    <t>Топинамбур</t>
  </si>
  <si>
    <t>Щавель</t>
  </si>
  <si>
    <t>Цветная капуста</t>
  </si>
  <si>
    <t>Лук-батун</t>
  </si>
  <si>
    <t>Мангольд</t>
  </si>
  <si>
    <t>Кольраби</t>
  </si>
  <si>
    <t>Ламинария (морская капуста)</t>
  </si>
  <si>
    <t>Свекла</t>
  </si>
  <si>
    <t>Батат (сладкий картофель)</t>
  </si>
  <si>
    <t>Ирландский мох (карраген)</t>
  </si>
  <si>
    <t>Листья репы</t>
  </si>
  <si>
    <t>Лук-порей</t>
  </si>
  <si>
    <t>Капуста краснокачанная</t>
  </si>
  <si>
    <t>Салат-латук зеленый</t>
  </si>
  <si>
    <t>Салат-латук красный</t>
  </si>
  <si>
    <t>Капуста белокачанная</t>
  </si>
  <si>
    <t>Эндивий</t>
  </si>
  <si>
    <t>Фенхель</t>
  </si>
  <si>
    <t>Кабачок летний</t>
  </si>
  <si>
    <t>Кабачок цуккини</t>
  </si>
  <si>
    <t>Брюква</t>
  </si>
  <si>
    <t>Капуста пекинская</t>
  </si>
  <si>
    <t>Пастернак</t>
  </si>
  <si>
    <t>Лук</t>
  </si>
  <si>
    <t>Редис ледяная сосулька</t>
  </si>
  <si>
    <t>Баклажан</t>
  </si>
  <si>
    <t>Тыква</t>
  </si>
  <si>
    <t>Перец сладкий</t>
  </si>
  <si>
    <t>Лук зелёный</t>
  </si>
  <si>
    <t>Физалис</t>
  </si>
  <si>
    <t>Кабачок зимний</t>
  </si>
  <si>
    <t>Морковь</t>
  </si>
  <si>
    <t>Репа</t>
  </si>
  <si>
    <t>Помидор</t>
  </si>
  <si>
    <t>Сельдерей</t>
  </si>
  <si>
    <t>Редис</t>
  </si>
  <si>
    <t>Огурец</t>
  </si>
  <si>
    <t>Редька дайкон</t>
  </si>
  <si>
    <t>Арахис</t>
  </si>
  <si>
    <t>Тыквы и кабачка семя</t>
  </si>
  <si>
    <t>Миндаль</t>
  </si>
  <si>
    <t>Подсолнечника семя</t>
  </si>
  <si>
    <t>Кунжут (без кожуры)</t>
  </si>
  <si>
    <t>Фисташка</t>
  </si>
  <si>
    <t>Льна семя</t>
  </si>
  <si>
    <t>Кешью</t>
  </si>
  <si>
    <t>Мака семя</t>
  </si>
  <si>
    <t>Кунжут (с кожурой)</t>
  </si>
  <si>
    <t>Грецкий орех</t>
  </si>
  <si>
    <t>Лесной орех / фундук</t>
  </si>
  <si>
    <t>Бразильский орех</t>
  </si>
  <si>
    <t>Кедровый орех</t>
  </si>
  <si>
    <t>Кокос</t>
  </si>
  <si>
    <t>Овёс</t>
  </si>
  <si>
    <t>Рис дикий (цицания)</t>
  </si>
  <si>
    <t>Гречиха зеленая</t>
  </si>
  <si>
    <t>Гречиха коричневая</t>
  </si>
  <si>
    <t>Пшено</t>
  </si>
  <si>
    <t>Рожь</t>
  </si>
  <si>
    <t>Ячмень</t>
  </si>
  <si>
    <t>Рис коричневый</t>
  </si>
  <si>
    <t>Пшеница пророщенная</t>
  </si>
  <si>
    <t>Рис белый</t>
  </si>
  <si>
    <t>Боб садовый</t>
  </si>
  <si>
    <t>Чечевица</t>
  </si>
  <si>
    <t>Горох сушёный</t>
  </si>
  <si>
    <t>Маш (бобы мунг)</t>
  </si>
  <si>
    <t>Фасоль</t>
  </si>
  <si>
    <t>Нут (турецкий горох)</t>
  </si>
  <si>
    <t>Тофу</t>
  </si>
  <si>
    <t>Горох зелёный</t>
  </si>
  <si>
    <t>Абрикосовых косточек масло</t>
  </si>
  <si>
    <t>Авокадо масло</t>
  </si>
  <si>
    <t>Арахисовое масло</t>
  </si>
  <si>
    <t>Виноградных косточек масло</t>
  </si>
  <si>
    <t>Горчичное масло</t>
  </si>
  <si>
    <t>Грецкого ореха масло</t>
  </si>
  <si>
    <t>Какао масло</t>
  </si>
  <si>
    <t>Кокосовое масло</t>
  </si>
  <si>
    <t>Кукурузное масло</t>
  </si>
  <si>
    <t>Кунжутное масло</t>
  </si>
  <si>
    <t>Льняное масло</t>
  </si>
  <si>
    <t>Маковое масло</t>
  </si>
  <si>
    <t>Миндальное масло</t>
  </si>
  <si>
    <t>Оливковое масло</t>
  </si>
  <si>
    <t>Пальмовое масло</t>
  </si>
  <si>
    <t>Пальмоядровое масло</t>
  </si>
  <si>
    <t>Подсолнечное масло</t>
  </si>
  <si>
    <t>Пшеницы зародышей масло</t>
  </si>
  <si>
    <t>Рапсовое (канолы) масло</t>
  </si>
  <si>
    <t>Рисовых отрубей масло</t>
  </si>
  <si>
    <t>Соевое масло</t>
  </si>
  <si>
    <t>Хлопковое масло</t>
  </si>
  <si>
    <t>Вы получаете из пищи:</t>
  </si>
  <si>
    <t>Норма:</t>
  </si>
  <si>
    <t>Итого,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</si>
</sst>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66F00"/>
      <name val="Calibri"/>
      <family val="2"/>
      <charset val="204"/>
      <scheme val="minor"/>
    </font>
    <font>
      <b/>
      <sz val="11"/>
      <color rgb="FFF66F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/>
    <xf numFmtId="0" fontId="1" fillId="0" borderId="0" xfId="0" applyFont="1" applyAlignment="1"/>
    <xf numFmtId="0" fontId="0" fillId="0" borderId="0" xfId="0" applyProtection="1">
      <protection locked="0"/>
    </xf>
    <xf numFmtId="9" fontId="0" fillId="0" borderId="0" xfId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D163"/>
  <sheetViews>
    <sheetView tabSelected="1" zoomScaleNormal="100" workbookViewId="0">
      <pane ySplit="1" topLeftCell="A2" activePane="bottomLeft" state="frozen"/>
      <selection pane="bottomLeft" activeCell="E18" sqref="E18"/>
    </sheetView>
  </sheetViews>
  <sheetFormatPr defaultRowHeight="15"/>
  <cols>
    <col min="1" max="1" width="29.85546875" customWidth="1"/>
    <col min="2" max="2" width="18" customWidth="1"/>
    <col min="3" max="3" width="11.140625" customWidth="1"/>
    <col min="4" max="4" width="12" customWidth="1"/>
    <col min="5" max="5" width="8.7109375" customWidth="1"/>
    <col min="6" max="6" width="9.5703125" customWidth="1"/>
    <col min="7" max="7" width="9.42578125" customWidth="1"/>
    <col min="8" max="9" width="9" customWidth="1"/>
    <col min="10" max="10" width="8.5703125" customWidth="1"/>
    <col min="13" max="13" width="8.85546875" customWidth="1"/>
    <col min="14" max="14" width="12.42578125" customWidth="1"/>
    <col min="16" max="16" width="11.85546875" customWidth="1"/>
    <col min="17" max="17" width="13.42578125" customWidth="1"/>
    <col min="18" max="19" width="13.5703125" customWidth="1"/>
    <col min="20" max="20" width="12.5703125" customWidth="1"/>
    <col min="21" max="21" width="13" customWidth="1"/>
    <col min="22" max="22" width="14.42578125" customWidth="1"/>
    <col min="23" max="23" width="12.28515625" customWidth="1"/>
    <col min="24" max="24" width="13" customWidth="1"/>
    <col min="25" max="25" width="12.7109375" customWidth="1"/>
    <col min="26" max="26" width="11.85546875" customWidth="1"/>
    <col min="27" max="27" width="12.42578125" customWidth="1"/>
  </cols>
  <sheetData>
    <row r="1" spans="1: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>
      <c r="A2" t="s">
        <v>30</v>
      </c>
      <c r="B2" s="10">
        <v>100</v>
      </c>
      <c r="C2">
        <f>B2*2/100</f>
        <v>2</v>
      </c>
      <c r="D2">
        <f>B2*6.7/100</f>
        <v>6.7</v>
      </c>
      <c r="E2">
        <f>B2*0.7/100</f>
        <v>0.7</v>
      </c>
      <c r="F2">
        <f>B2*12/100</f>
        <v>12</v>
      </c>
      <c r="G2">
        <f>B2*0.55/100</f>
        <v>0.55000000000000004</v>
      </c>
      <c r="H2">
        <f>B2*30/100</f>
        <v>30</v>
      </c>
      <c r="I2">
        <f>B2*52/100</f>
        <v>52</v>
      </c>
      <c r="J2">
        <f>B2*490/100</f>
        <v>490</v>
      </c>
      <c r="K2">
        <f>B2*7/100</f>
        <v>7</v>
      </c>
      <c r="L2">
        <f>B2*0.65/100</f>
        <v>0.65</v>
      </c>
      <c r="M2" s="2">
        <f>B2*0.19/100</f>
        <v>0.19</v>
      </c>
      <c r="N2">
        <f>B2*0.142/100</f>
        <v>0.14199999999999999</v>
      </c>
      <c r="O2">
        <f>B2*0.4/100</f>
        <v>0.4</v>
      </c>
      <c r="P2">
        <f>B2*10/100</f>
        <v>10</v>
      </c>
      <c r="Q2">
        <f>B2*0.067/100</f>
        <v>6.7000000000000004E-2</v>
      </c>
      <c r="R2" s="2">
        <f>B2*0.13/100</f>
        <v>0.13</v>
      </c>
      <c r="S2" s="2">
        <f>B2*1.738/100</f>
        <v>1.7380000000000002</v>
      </c>
      <c r="T2" s="2">
        <f>B2*14.2/100</f>
        <v>14.2</v>
      </c>
      <c r="U2" s="2">
        <f>B2*1.389/100</f>
        <v>1.389</v>
      </c>
      <c r="V2" s="2">
        <v>0.25700000000000001</v>
      </c>
      <c r="W2" s="3">
        <f>B2*81/100</f>
        <v>81</v>
      </c>
      <c r="X2">
        <f>B2*7/100</f>
        <v>7</v>
      </c>
      <c r="Y2">
        <f>B2*2.07/100</f>
        <v>2.0699999999999998</v>
      </c>
      <c r="Z2" s="2">
        <f>B2*21/100</f>
        <v>21</v>
      </c>
    </row>
    <row r="3" spans="1:30">
      <c r="A3" t="s">
        <v>31</v>
      </c>
      <c r="B3" s="10">
        <v>100</v>
      </c>
      <c r="C3">
        <f>B3*1.8/100</f>
        <v>1.8</v>
      </c>
      <c r="D3">
        <f>B3*6.7/100</f>
        <v>6.7</v>
      </c>
      <c r="E3">
        <f>B3*66.5/100</f>
        <v>66.5</v>
      </c>
      <c r="F3">
        <f>B3*65/100</f>
        <v>65</v>
      </c>
      <c r="G3">
        <f>B3*0.9/100</f>
        <v>0.9</v>
      </c>
      <c r="H3">
        <f>B3*55/100</f>
        <v>55</v>
      </c>
      <c r="I3">
        <f>B3*62/100</f>
        <v>62</v>
      </c>
      <c r="J3">
        <f>B3*700/100</f>
        <v>700</v>
      </c>
      <c r="K3">
        <f>B3*1/100</f>
        <v>1</v>
      </c>
      <c r="L3">
        <f>B3*0.45/100</f>
        <v>0.45</v>
      </c>
      <c r="M3" s="3">
        <f>B3*0.362/100</f>
        <v>0.36199999999999993</v>
      </c>
      <c r="N3" s="2">
        <f>B3*0.296/100</f>
        <v>0.29599999999999999</v>
      </c>
      <c r="O3">
        <f>B3*0/100</f>
        <v>0</v>
      </c>
      <c r="P3">
        <f>B3*0/100</f>
        <v>0</v>
      </c>
      <c r="Q3">
        <f>B3*0.05/100</f>
        <v>0.05</v>
      </c>
      <c r="R3">
        <f>B3*0.06/100</f>
        <v>0.06</v>
      </c>
      <c r="S3" s="2">
        <f>B3*1.61/100</f>
        <v>1.61</v>
      </c>
      <c r="T3">
        <f>B3*9.9/100</f>
        <v>9.9</v>
      </c>
      <c r="U3" s="2">
        <f>B3*0.805/100</f>
        <v>0.80500000000000005</v>
      </c>
      <c r="V3" s="2">
        <v>0.249</v>
      </c>
      <c r="W3" s="2">
        <f>B3*15/100</f>
        <v>15</v>
      </c>
      <c r="X3">
        <f>B3*7/100</f>
        <v>7</v>
      </c>
      <c r="Y3">
        <f>B3*0/100</f>
        <v>0</v>
      </c>
      <c r="Z3">
        <f>B3*2.7/100</f>
        <v>2.7</v>
      </c>
    </row>
    <row r="4" spans="1:30">
      <c r="A4" t="s">
        <v>32</v>
      </c>
      <c r="B4" s="10">
        <v>100</v>
      </c>
      <c r="C4">
        <f>B4*1.7/100</f>
        <v>1.7</v>
      </c>
      <c r="D4">
        <f>B4*4/100</f>
        <v>4</v>
      </c>
      <c r="E4">
        <f>B4*13.7/100</f>
        <v>13.7</v>
      </c>
      <c r="F4">
        <f>B4*10/100</f>
        <v>10</v>
      </c>
      <c r="G4">
        <f>B4*0.3/100</f>
        <v>0.3</v>
      </c>
      <c r="H4">
        <f>B4*12/100</f>
        <v>12</v>
      </c>
      <c r="I4">
        <f>B4*36/100</f>
        <v>36</v>
      </c>
      <c r="J4">
        <f>B4*240/100</f>
        <v>240</v>
      </c>
      <c r="K4">
        <f>B4*3/100</f>
        <v>3</v>
      </c>
      <c r="L4">
        <f>B4*0.35/100</f>
        <v>0.35</v>
      </c>
      <c r="M4" s="2">
        <f>B4*0.158/100</f>
        <v>0.158</v>
      </c>
      <c r="N4">
        <f>B4*0.119/100</f>
        <v>0.11899999999999998</v>
      </c>
      <c r="O4">
        <f>B4*0.5/100</f>
        <v>0.5</v>
      </c>
      <c r="P4">
        <f>B4*10.2/100</f>
        <v>10.199999999999999</v>
      </c>
      <c r="Q4">
        <f>B4*0.067/100</f>
        <v>6.7000000000000004E-2</v>
      </c>
      <c r="R4">
        <f>B4*0.053/100</f>
        <v>5.2999999999999999E-2</v>
      </c>
      <c r="S4">
        <f>B4*0.293/100</f>
        <v>0.29299999999999998</v>
      </c>
      <c r="T4">
        <f>B4*7.6/100</f>
        <v>7.6</v>
      </c>
      <c r="U4">
        <f>B4*0.377/100</f>
        <v>0.377</v>
      </c>
      <c r="V4">
        <v>7.4999999999999997E-2</v>
      </c>
      <c r="W4" s="2">
        <f>B4*38/100</f>
        <v>38</v>
      </c>
      <c r="X4">
        <f>B4*0/100</f>
        <v>0</v>
      </c>
      <c r="Y4">
        <f>B4*0.6/100</f>
        <v>0.6</v>
      </c>
      <c r="Z4" s="2">
        <f>B4*16.4/100</f>
        <v>16.399999999999999</v>
      </c>
    </row>
    <row r="5" spans="1:30">
      <c r="A5" t="s">
        <v>33</v>
      </c>
      <c r="B5" s="10">
        <v>100</v>
      </c>
      <c r="C5">
        <f>B5*1.4/100</f>
        <v>1.4</v>
      </c>
      <c r="D5">
        <f>B5*2/100</f>
        <v>2</v>
      </c>
      <c r="E5">
        <f>B5*9.3/100</f>
        <v>9.3000000000000007</v>
      </c>
      <c r="F5">
        <f>B5*13/100</f>
        <v>13</v>
      </c>
      <c r="G5">
        <f>B5*0.4/100</f>
        <v>0.4</v>
      </c>
      <c r="H5">
        <f>B5*10/100</f>
        <v>10</v>
      </c>
      <c r="I5">
        <f>B5*23/100</f>
        <v>23</v>
      </c>
      <c r="J5">
        <f>B5*260/100</f>
        <v>260</v>
      </c>
      <c r="K5">
        <f>B5*1/100</f>
        <v>1</v>
      </c>
      <c r="L5">
        <f>B5*0.2/100</f>
        <v>0.2</v>
      </c>
      <c r="M5">
        <f>B5*0.08/100</f>
        <v>0.08</v>
      </c>
      <c r="N5">
        <f>B5*0.077/100</f>
        <v>7.6999999999999999E-2</v>
      </c>
      <c r="O5">
        <f>B5*0.1/100</f>
        <v>0.1</v>
      </c>
      <c r="P5">
        <f>B5*10/100</f>
        <v>10</v>
      </c>
      <c r="Q5">
        <f>B5*0.03/100</f>
        <v>0.03</v>
      </c>
      <c r="R5">
        <f>B5*0.04/100</f>
        <v>0.04</v>
      </c>
      <c r="S5">
        <f>B5*0.6/100</f>
        <v>0.6</v>
      </c>
      <c r="T5">
        <f>B5*2.8/100</f>
        <v>2.8</v>
      </c>
      <c r="U5">
        <f>B5*0.24/100</f>
        <v>0.24</v>
      </c>
      <c r="V5">
        <v>5.3999999999999999E-2</v>
      </c>
      <c r="W5">
        <f>B5*9/100</f>
        <v>9</v>
      </c>
      <c r="X5" s="2">
        <f>B5*96/100</f>
        <v>96</v>
      </c>
      <c r="Y5">
        <f>B5*0.89/100</f>
        <v>0.89</v>
      </c>
      <c r="Z5">
        <f>B5*3.3/100</f>
        <v>3.3</v>
      </c>
    </row>
    <row r="6" spans="1:30">
      <c r="A6" t="s">
        <v>34</v>
      </c>
      <c r="B6" s="10">
        <v>100</v>
      </c>
      <c r="C6">
        <f>B6*1.4/100</f>
        <v>1.4</v>
      </c>
      <c r="D6">
        <f>B6*5.3/100</f>
        <v>5.3</v>
      </c>
      <c r="E6">
        <f>B6*5/100</f>
        <v>5</v>
      </c>
      <c r="F6">
        <f>B6*30/100</f>
        <v>30</v>
      </c>
      <c r="G6">
        <f>B6*0.6/100</f>
        <v>0.6</v>
      </c>
      <c r="H6">
        <f>B6*20/100</f>
        <v>20</v>
      </c>
      <c r="I6">
        <f>B6*22/100</f>
        <v>22</v>
      </c>
      <c r="J6">
        <f>B6*160/100</f>
        <v>160</v>
      </c>
      <c r="K6">
        <f>B6*1/100</f>
        <v>1</v>
      </c>
      <c r="L6">
        <f>B6*0.53/100</f>
        <v>0.53</v>
      </c>
      <c r="M6" s="2">
        <f>B6*0.165/100</f>
        <v>0.16500000000000001</v>
      </c>
      <c r="N6" s="2">
        <f>B6*0.646/100</f>
        <v>0.64600000000000013</v>
      </c>
      <c r="O6">
        <f>B6*0.4/100</f>
        <v>0.4</v>
      </c>
      <c r="P6">
        <f>B6*21/100</f>
        <v>21</v>
      </c>
      <c r="Q6">
        <f>B6*0.02/100</f>
        <v>0.02</v>
      </c>
      <c r="R6">
        <f>B6*0.026/100</f>
        <v>2.6000000000000002E-2</v>
      </c>
      <c r="S6">
        <f>B6*0.646/100</f>
        <v>0.64600000000000013</v>
      </c>
      <c r="T6">
        <f>B6*8.5/100</f>
        <v>8.5</v>
      </c>
      <c r="U6">
        <f>B6*0.276/100</f>
        <v>0.27600000000000002</v>
      </c>
      <c r="V6">
        <v>0.03</v>
      </c>
      <c r="W6" s="2">
        <f>B6*25/100</f>
        <v>25</v>
      </c>
      <c r="X6">
        <f>B6*11/100</f>
        <v>11</v>
      </c>
      <c r="Y6" s="2">
        <f>B6*1.17/100</f>
        <v>1.17</v>
      </c>
      <c r="Z6" s="2">
        <f>B6*19.8/100</f>
        <v>19.8</v>
      </c>
    </row>
    <row r="7" spans="1:30">
      <c r="A7" t="s">
        <v>35</v>
      </c>
      <c r="B7" s="10">
        <v>100</v>
      </c>
      <c r="C7">
        <f>B7*1.4/100</f>
        <v>1.4</v>
      </c>
      <c r="F7">
        <f>B7*55/100</f>
        <v>55</v>
      </c>
      <c r="G7">
        <f>B7*1.5/100</f>
        <v>1.5</v>
      </c>
      <c r="H7">
        <f>B7*25/100</f>
        <v>25</v>
      </c>
      <c r="I7">
        <f>B7*60/100</f>
        <v>60</v>
      </c>
      <c r="J7">
        <f>B7*320/100</f>
        <v>320</v>
      </c>
      <c r="K7">
        <f>B7*2/100</f>
        <v>2</v>
      </c>
      <c r="L7">
        <f>B7*0.3/100</f>
        <v>0.3</v>
      </c>
      <c r="M7">
        <f>B7*0.086/100</f>
        <v>8.5999999999999993E-2</v>
      </c>
      <c r="N7" s="2">
        <f>B7*0.256/100</f>
        <v>0.25600000000000001</v>
      </c>
      <c r="O7">
        <f>B7*0/100</f>
        <v>0</v>
      </c>
      <c r="P7" s="2">
        <f>B7*181/100</f>
        <v>181</v>
      </c>
      <c r="Q7">
        <f>B7*0.05/100</f>
        <v>0.05</v>
      </c>
      <c r="R7">
        <f>B7*0.05/100</f>
        <v>0.05</v>
      </c>
      <c r="S7">
        <f>B7*0.3/100</f>
        <v>0.3</v>
      </c>
      <c r="T7">
        <f>B7*0/100</f>
        <v>0</v>
      </c>
      <c r="U7">
        <f>B7*0/100</f>
        <v>0</v>
      </c>
      <c r="V7">
        <v>6.6000000000000003E-2</v>
      </c>
      <c r="W7">
        <f>B7*0/100</f>
        <v>0</v>
      </c>
      <c r="X7">
        <f>B7*12/100</f>
        <v>12</v>
      </c>
      <c r="Y7" s="2">
        <f>B7*1/100</f>
        <v>1</v>
      </c>
      <c r="Z7">
        <f>B7*0/100</f>
        <v>0</v>
      </c>
    </row>
    <row r="8" spans="1:30">
      <c r="A8" t="s">
        <v>36</v>
      </c>
      <c r="B8" s="10">
        <v>100</v>
      </c>
      <c r="C8">
        <f>B8*1.4/100</f>
        <v>1.4</v>
      </c>
      <c r="D8">
        <f>B8*1.7/100</f>
        <v>1.7</v>
      </c>
      <c r="E8">
        <f>B6*8/100</f>
        <v>8</v>
      </c>
      <c r="F8">
        <f>B8*40/100</f>
        <v>40</v>
      </c>
      <c r="G8">
        <f>B8*1.85/100</f>
        <v>1.85</v>
      </c>
      <c r="H8">
        <f>B8*18/100</f>
        <v>18</v>
      </c>
      <c r="I8">
        <f>B8*40/100</f>
        <v>40</v>
      </c>
      <c r="J8">
        <f>B8*200/100</f>
        <v>200</v>
      </c>
      <c r="K8">
        <f>B8*10/100</f>
        <v>10</v>
      </c>
      <c r="L8">
        <f>B8*0.12/100</f>
        <v>0.12</v>
      </c>
      <c r="M8">
        <f>B8*0.06/100</f>
        <v>0.06</v>
      </c>
      <c r="N8">
        <f>B8*0/100</f>
        <v>0</v>
      </c>
      <c r="O8">
        <f>B8*0.6/100</f>
        <v>0.6</v>
      </c>
      <c r="P8" s="2">
        <f>B8*36.4/100</f>
        <v>36.4</v>
      </c>
      <c r="Q8">
        <f>B8*0.029/100</f>
        <v>2.9000000000000005E-2</v>
      </c>
      <c r="R8" s="2">
        <f>B8*0.101/100</f>
        <v>0.10100000000000002</v>
      </c>
      <c r="S8">
        <f>B8*0.62/100</f>
        <v>0.62</v>
      </c>
      <c r="T8" s="2">
        <f>B8*12.3/100</f>
        <v>12.3</v>
      </c>
      <c r="U8">
        <f>B8*0/100</f>
        <v>0</v>
      </c>
      <c r="V8">
        <v>0.05</v>
      </c>
      <c r="W8">
        <f>B8*6/100</f>
        <v>6</v>
      </c>
      <c r="X8">
        <f>B8*1/100</f>
        <v>1</v>
      </c>
      <c r="Y8">
        <f>B8*0.87/100</f>
        <v>0.87</v>
      </c>
      <c r="Z8">
        <f>B8*7.8/100</f>
        <v>7.8</v>
      </c>
    </row>
    <row r="9" spans="1:30">
      <c r="A9" t="s">
        <v>37</v>
      </c>
      <c r="B9" s="10">
        <v>100</v>
      </c>
      <c r="C9">
        <f>B9*1.2/100</f>
        <v>1.2</v>
      </c>
      <c r="D9">
        <f>B9*2/100</f>
        <v>2</v>
      </c>
      <c r="E9">
        <f>B9*11/100</f>
        <v>11</v>
      </c>
      <c r="F9">
        <f>B9*20/100</f>
        <v>20</v>
      </c>
      <c r="G9">
        <f>B9*0.3/100</f>
        <v>0.3</v>
      </c>
      <c r="H9">
        <f>B9*14/100</f>
        <v>14</v>
      </c>
      <c r="I9">
        <f>B9*30/100</f>
        <v>30</v>
      </c>
      <c r="J9">
        <f>B9*316/100</f>
        <v>316</v>
      </c>
      <c r="K9">
        <f>B9*3/100</f>
        <v>3</v>
      </c>
      <c r="L9">
        <f>B9*0.1/100</f>
        <v>0.1</v>
      </c>
      <c r="M9">
        <f>B9*0.15/100</f>
        <v>0.15</v>
      </c>
      <c r="N9">
        <f>B9*0.058/100</f>
        <v>5.800000000000001E-2</v>
      </c>
      <c r="O9" s="2">
        <f>B9*3.1/100</f>
        <v>3.1</v>
      </c>
      <c r="P9" s="2">
        <f>B9*105.4/100</f>
        <v>105.4</v>
      </c>
      <c r="Q9">
        <f>B9*0.024/100</f>
        <v>2.4E-2</v>
      </c>
      <c r="R9">
        <f>B9*0.046/100</f>
        <v>4.5999999999999999E-2</v>
      </c>
      <c r="S9">
        <f>B9*0.28/100</f>
        <v>0.28000000000000003</v>
      </c>
      <c r="T9">
        <f>B9*5/100</f>
        <v>5</v>
      </c>
      <c r="U9" s="2">
        <f>B9*0.5/100</f>
        <v>0.5</v>
      </c>
      <c r="V9">
        <v>5.7000000000000002E-2</v>
      </c>
      <c r="W9">
        <f>B9*0/100</f>
        <v>0</v>
      </c>
      <c r="X9">
        <f>B9*4/100</f>
        <v>4</v>
      </c>
      <c r="Y9" s="2">
        <f>B9*1.49/100</f>
        <v>1.49</v>
      </c>
      <c r="Z9">
        <f>B9*5.5/100</f>
        <v>5.5</v>
      </c>
    </row>
    <row r="10" spans="1:30">
      <c r="A10" t="s">
        <v>38</v>
      </c>
      <c r="B10" s="10">
        <v>100</v>
      </c>
      <c r="C10">
        <f>B10*1.2/100</f>
        <v>1.2</v>
      </c>
      <c r="D10">
        <f>B10*6.4/100</f>
        <v>6.4</v>
      </c>
      <c r="E10">
        <f>B10*4.5/100</f>
        <v>4.5</v>
      </c>
      <c r="F10">
        <f>B10*25/100</f>
        <v>25</v>
      </c>
      <c r="G10">
        <f>B10*0.7/100</f>
        <v>0.7</v>
      </c>
      <c r="H10">
        <f>B10*22/100</f>
        <v>22</v>
      </c>
      <c r="I10">
        <f>B10*30/100</f>
        <v>30</v>
      </c>
      <c r="J10">
        <f>B10*150/100</f>
        <v>150</v>
      </c>
      <c r="K10">
        <f>B10*1/100</f>
        <v>1</v>
      </c>
      <c r="L10">
        <f>B10*0.42/100</f>
        <v>0.42</v>
      </c>
      <c r="M10">
        <f>B10*0.09/100</f>
        <v>0.09</v>
      </c>
      <c r="N10" s="2">
        <f>B10*0.67/100</f>
        <v>0.67</v>
      </c>
      <c r="O10">
        <f>B10*0.2/100</f>
        <v>0.2</v>
      </c>
      <c r="P10">
        <f>B10*26.2/100</f>
        <v>26.2</v>
      </c>
      <c r="Q10">
        <f>B10*0.032/100</f>
        <v>3.2000000000000001E-2</v>
      </c>
      <c r="R10">
        <f>B10*0.038/100</f>
        <v>3.7999999999999999E-2</v>
      </c>
      <c r="S10">
        <f>B10*0.598/100</f>
        <v>0.59799999999999998</v>
      </c>
      <c r="T10" s="2">
        <f>B10*12.3/100</f>
        <v>12.3</v>
      </c>
      <c r="U10">
        <f>B10*0.329/100</f>
        <v>0.32899999999999996</v>
      </c>
      <c r="V10">
        <v>5.5E-2</v>
      </c>
      <c r="W10" s="2">
        <f>B10*21/100</f>
        <v>21</v>
      </c>
      <c r="X10">
        <f>B10*2/100</f>
        <v>2</v>
      </c>
      <c r="Y10">
        <f>B10*0.87/100</f>
        <v>0.87</v>
      </c>
      <c r="Z10">
        <f>B10*7.8/100</f>
        <v>7.8</v>
      </c>
    </row>
    <row r="11" spans="1:30">
      <c r="A11" t="s">
        <v>39</v>
      </c>
      <c r="B11" s="10">
        <v>100</v>
      </c>
      <c r="C11">
        <f>B11*1.1/100</f>
        <v>1.1000000000000001</v>
      </c>
      <c r="D11">
        <f>B11*2.8/100</f>
        <v>2.8</v>
      </c>
      <c r="E11">
        <f>B11*2.5/100</f>
        <v>2.5</v>
      </c>
      <c r="F11">
        <f>B11*25/100</f>
        <v>25</v>
      </c>
      <c r="G11">
        <f>B11*0.6/100</f>
        <v>0.6</v>
      </c>
      <c r="H11">
        <f>B11*8/100</f>
        <v>8</v>
      </c>
      <c r="I11">
        <f>B11*16/100</f>
        <v>16</v>
      </c>
      <c r="J11">
        <f>B11*140/100</f>
        <v>140</v>
      </c>
      <c r="K11">
        <f>B11*2/100</f>
        <v>2</v>
      </c>
      <c r="L11">
        <f>B11*0.06/100</f>
        <v>0.06</v>
      </c>
      <c r="M11">
        <f>B11*0.04/100</f>
        <v>0.04</v>
      </c>
      <c r="N11">
        <f>B11*0.03/100</f>
        <v>0.03</v>
      </c>
      <c r="O11">
        <f>B11*0.4/100</f>
        <v>0.4</v>
      </c>
      <c r="P11" s="2">
        <f>B11*53/100</f>
        <v>53</v>
      </c>
      <c r="Q11">
        <f>B11*0.04/100</f>
        <v>0.04</v>
      </c>
      <c r="R11">
        <f>B11*0.02/100</f>
        <v>0.02</v>
      </c>
      <c r="S11">
        <f>B11*0.1/100</f>
        <v>0.1</v>
      </c>
      <c r="T11">
        <f>B11*5.1/100</f>
        <v>5.0999999999999996</v>
      </c>
      <c r="U11">
        <f>B11*0.19/100</f>
        <v>0.19</v>
      </c>
      <c r="V11">
        <v>0.08</v>
      </c>
      <c r="W11">
        <f>B11*11/100</f>
        <v>11</v>
      </c>
      <c r="X11">
        <f>B11*1/100</f>
        <v>1</v>
      </c>
      <c r="Y11">
        <f>B11*0.15/100</f>
        <v>0.15</v>
      </c>
      <c r="Z11">
        <f>B11*0/100</f>
        <v>0</v>
      </c>
    </row>
    <row r="12" spans="1:30">
      <c r="A12" t="s">
        <v>40</v>
      </c>
      <c r="B12" s="10">
        <v>100</v>
      </c>
      <c r="C12">
        <f>B12*1/100</f>
        <v>1</v>
      </c>
      <c r="D12">
        <f>B12*2.6/100</f>
        <v>2.6</v>
      </c>
      <c r="E12">
        <f>B12*12/100</f>
        <v>12</v>
      </c>
      <c r="F12">
        <f>B12*5/100</f>
        <v>5</v>
      </c>
      <c r="G12">
        <f>B12*0.26/100</f>
        <v>0.26</v>
      </c>
      <c r="H12">
        <f>B12*27/100</f>
        <v>27</v>
      </c>
      <c r="I12">
        <f>B12*22/100</f>
        <v>22</v>
      </c>
      <c r="J12">
        <f>B12*360/100</f>
        <v>360</v>
      </c>
      <c r="K12">
        <f>B12*1/100</f>
        <v>1</v>
      </c>
      <c r="L12">
        <f>B12*0.15/100</f>
        <v>0.15</v>
      </c>
      <c r="M12">
        <f>B12*0.08/100</f>
        <v>0.08</v>
      </c>
      <c r="N12" s="2">
        <f>B12*0.27/100</f>
        <v>0.27</v>
      </c>
      <c r="O12">
        <f>B12*1/100</f>
        <v>1</v>
      </c>
      <c r="P12">
        <f>B12*8.7/100</f>
        <v>8.6999999999999993</v>
      </c>
      <c r="Q12">
        <f>B12*0.031/100</f>
        <v>3.1E-2</v>
      </c>
      <c r="R12">
        <f>B12*0.073/100</f>
        <v>7.2999999999999995E-2</v>
      </c>
      <c r="S12">
        <f>B12*0.665/100</f>
        <v>0.66500000000000004</v>
      </c>
      <c r="T12">
        <f>B12*9.8/100</f>
        <v>9.8000000000000007</v>
      </c>
      <c r="U12">
        <f>B12*0.334/100</f>
        <v>0.33399999999999996</v>
      </c>
      <c r="V12">
        <v>0.36699999999999999</v>
      </c>
      <c r="W12" s="2">
        <f>B12*20/100</f>
        <v>20</v>
      </c>
      <c r="X12">
        <f>B12*3/100</f>
        <v>3</v>
      </c>
      <c r="Y12">
        <f>B12*0.1/100</f>
        <v>0.1</v>
      </c>
      <c r="Z12">
        <f>B12*0.5/100</f>
        <v>0.5</v>
      </c>
    </row>
    <row r="13" spans="1:30">
      <c r="A13" t="s">
        <v>41</v>
      </c>
      <c r="B13" s="10">
        <v>100</v>
      </c>
      <c r="C13">
        <f>B13*1/100</f>
        <v>1</v>
      </c>
      <c r="D13">
        <f>B13*1.6/100</f>
        <v>1.6</v>
      </c>
      <c r="E13">
        <f>B13*8.5/100</f>
        <v>8.5</v>
      </c>
      <c r="F13">
        <f>B13*16/100</f>
        <v>16</v>
      </c>
      <c r="G13">
        <f>B13*0.3/100</f>
        <v>0.3</v>
      </c>
      <c r="H13">
        <f>B13*9/100</f>
        <v>9</v>
      </c>
      <c r="I13">
        <f>B13*15/100</f>
        <v>15</v>
      </c>
      <c r="J13">
        <f>B13*170/100</f>
        <v>170</v>
      </c>
      <c r="K13">
        <f>B13*3/100</f>
        <v>3</v>
      </c>
      <c r="L13">
        <f>B13*0.1/100</f>
        <v>0.1</v>
      </c>
      <c r="M13">
        <f>B13*0.104/100</f>
        <v>0.10400000000000001</v>
      </c>
      <c r="N13">
        <f>B13*0.112/100</f>
        <v>0.11200000000000002</v>
      </c>
      <c r="O13">
        <f>B13*0/100</f>
        <v>0</v>
      </c>
      <c r="P13">
        <f>B13*10/100</f>
        <v>10</v>
      </c>
      <c r="Q13">
        <f>B13*0.03/100</f>
        <v>0.03</v>
      </c>
      <c r="R13">
        <f>B13*0.04/100</f>
        <v>0.04</v>
      </c>
      <c r="S13">
        <f>B13*0.4/100</f>
        <v>0.4</v>
      </c>
      <c r="T13">
        <f>B13*6.1/100</f>
        <v>6.1</v>
      </c>
      <c r="U13">
        <f>B13*0.143/100</f>
        <v>0.14299999999999999</v>
      </c>
      <c r="V13">
        <v>4.3999999999999997E-2</v>
      </c>
      <c r="W13">
        <f>B13*8/100</f>
        <v>8</v>
      </c>
      <c r="X13" s="2">
        <f>B13*64/100</f>
        <v>64</v>
      </c>
      <c r="Y13">
        <f>B13*0.07/100</f>
        <v>7.0000000000000007E-2</v>
      </c>
      <c r="Z13">
        <f>B13*2.1/100</f>
        <v>2.1</v>
      </c>
    </row>
    <row r="14" spans="1:30">
      <c r="A14" t="s">
        <v>42</v>
      </c>
      <c r="B14" s="10">
        <v>100</v>
      </c>
      <c r="C14">
        <f>B14*1/100</f>
        <v>1</v>
      </c>
      <c r="D14">
        <f>B14*1.7/100</f>
        <v>1.7</v>
      </c>
      <c r="E14">
        <f>B14*7.9/100</f>
        <v>7.9</v>
      </c>
      <c r="F14">
        <f>B14*6/100</f>
        <v>6</v>
      </c>
      <c r="G14">
        <f>B14*0.3/100</f>
        <v>0.3</v>
      </c>
      <c r="H14">
        <f>B14*9/100</f>
        <v>9</v>
      </c>
      <c r="I14">
        <f>B14*26/100</f>
        <v>26</v>
      </c>
      <c r="J14">
        <f>B14*200/100</f>
        <v>200</v>
      </c>
      <c r="K14">
        <f>B14*0/100</f>
        <v>0</v>
      </c>
      <c r="L14">
        <f>B14*0.17/100</f>
        <v>0.17</v>
      </c>
      <c r="M14">
        <f>B14*0.086/100</f>
        <v>8.5999999999999993E-2</v>
      </c>
      <c r="N14">
        <f>B14*0.054/100</f>
        <v>5.4000000000000006E-2</v>
      </c>
      <c r="O14">
        <f>B14*0/100</f>
        <v>0</v>
      </c>
      <c r="P14">
        <f>B14*5.4/100</f>
        <v>5.4</v>
      </c>
      <c r="Q14">
        <f>B14*0.034/100</f>
        <v>3.4000000000000002E-2</v>
      </c>
      <c r="R14">
        <f>B14*0.027/100</f>
        <v>2.7000000000000003E-2</v>
      </c>
      <c r="S14" s="2">
        <f>B14*1.125/100</f>
        <v>1.125</v>
      </c>
      <c r="T14">
        <f>B14*6.2/100</f>
        <v>6.2</v>
      </c>
      <c r="U14">
        <f>B14*0.185/100</f>
        <v>0.185</v>
      </c>
      <c r="V14">
        <v>2.5000000000000001E-2</v>
      </c>
      <c r="W14">
        <f>B14*5/100</f>
        <v>5</v>
      </c>
      <c r="X14">
        <f>B14*17/100</f>
        <v>17</v>
      </c>
      <c r="Y14">
        <f>B14*0.77/100</f>
        <v>0.77</v>
      </c>
      <c r="Z14">
        <f>B14*2.2/100</f>
        <v>2.2000000000000002</v>
      </c>
    </row>
    <row r="15" spans="1:30">
      <c r="A15" t="s">
        <v>43</v>
      </c>
      <c r="B15" s="10">
        <v>100</v>
      </c>
      <c r="C15">
        <f>B15*1/100</f>
        <v>1</v>
      </c>
      <c r="D15">
        <f>B15*6.4/100</f>
        <v>6.4</v>
      </c>
      <c r="E15">
        <f>B15*8.2/100</f>
        <v>8.1999999999999993</v>
      </c>
      <c r="F15">
        <f>B15*17/100</f>
        <v>17</v>
      </c>
      <c r="G15">
        <f>B15*0.15/100</f>
        <v>0.15</v>
      </c>
      <c r="H15">
        <f>B15*9/100</f>
        <v>9</v>
      </c>
      <c r="I15">
        <f>B15*20/100</f>
        <v>20</v>
      </c>
      <c r="J15">
        <f>B15*170/100</f>
        <v>170</v>
      </c>
      <c r="K15">
        <f>B15*3/100</f>
        <v>3</v>
      </c>
      <c r="L15">
        <f>B15*0.06/100</f>
        <v>0.06</v>
      </c>
      <c r="M15">
        <f>B15*0.036/100</f>
        <v>3.5999999999999997E-2</v>
      </c>
      <c r="N15">
        <f>B15*0.084/100</f>
        <v>8.4000000000000005E-2</v>
      </c>
      <c r="O15">
        <f>B15*0/100</f>
        <v>0</v>
      </c>
      <c r="P15" s="2">
        <f>B15*32.9/100</f>
        <v>32.9</v>
      </c>
      <c r="Q15">
        <f>B15*0.006/100</f>
        <v>6.0000000000000001E-3</v>
      </c>
      <c r="R15">
        <f>B15*0.018/100</f>
        <v>1.7999999999999999E-2</v>
      </c>
      <c r="S15">
        <f>B15*0.295/100</f>
        <v>0.29499999999999998</v>
      </c>
      <c r="T15">
        <f>B15*0/100</f>
        <v>0</v>
      </c>
      <c r="U15">
        <f>B15*0.233/100</f>
        <v>0.23300000000000001</v>
      </c>
      <c r="V15">
        <v>6.7000000000000004E-2</v>
      </c>
      <c r="W15" s="2">
        <f>B15*23/100</f>
        <v>23</v>
      </c>
      <c r="X15">
        <f>B15*0/100</f>
        <v>0</v>
      </c>
      <c r="Y15">
        <f>B15*0.16/100</f>
        <v>0.16</v>
      </c>
      <c r="Z15">
        <f>B15*3.5/100</f>
        <v>3.5</v>
      </c>
    </row>
    <row r="16" spans="1:30">
      <c r="A16" t="s">
        <v>44</v>
      </c>
      <c r="B16" s="10">
        <v>100</v>
      </c>
      <c r="C16">
        <f>B16*1/100</f>
        <v>1</v>
      </c>
      <c r="D16">
        <f>B16*2.1/100</f>
        <v>2.1</v>
      </c>
      <c r="E16">
        <f>B16*13/100</f>
        <v>13</v>
      </c>
      <c r="F16">
        <f>B16*13/100</f>
        <v>13</v>
      </c>
      <c r="G16">
        <f>B16*0.35/100</f>
        <v>0.35</v>
      </c>
      <c r="H16">
        <f>B16*11/100</f>
        <v>11</v>
      </c>
      <c r="I16">
        <f>B16*20/100</f>
        <v>20</v>
      </c>
      <c r="J16">
        <f>B16*220/100</f>
        <v>220</v>
      </c>
      <c r="K16">
        <f>B16*0/100</f>
        <v>0</v>
      </c>
      <c r="L16">
        <f>B16*0.07/100</f>
        <v>7.0000000000000007E-2</v>
      </c>
      <c r="M16">
        <f>B16*0.06/100</f>
        <v>0.06</v>
      </c>
      <c r="N16">
        <f>B16*0.07/100</f>
        <v>7.0000000000000007E-2</v>
      </c>
      <c r="O16">
        <f>B16*0/100</f>
        <v>0</v>
      </c>
      <c r="P16">
        <f>B16*7/100</f>
        <v>7</v>
      </c>
      <c r="Q16">
        <f>B16*0.027/100</f>
        <v>2.7000000000000003E-2</v>
      </c>
      <c r="R16">
        <f>B16*0.033/100</f>
        <v>3.3000000000000002E-2</v>
      </c>
      <c r="S16">
        <f>B16*0.154/100</f>
        <v>0.154</v>
      </c>
      <c r="T16">
        <f>B16*6.1/100</f>
        <v>6.1</v>
      </c>
      <c r="U16">
        <f>B16*0.199/100</f>
        <v>0.19900000000000001</v>
      </c>
      <c r="V16">
        <v>4.9000000000000002E-2</v>
      </c>
      <c r="W16">
        <f>B16*4/100</f>
        <v>4</v>
      </c>
      <c r="X16">
        <f>B16*3/100</f>
        <v>3</v>
      </c>
      <c r="Y16">
        <f>B16*0.07/100</f>
        <v>7.0000000000000007E-2</v>
      </c>
      <c r="Z16">
        <f>B16*2.1/100</f>
        <v>2.1</v>
      </c>
    </row>
    <row r="17" spans="1:26">
      <c r="A17" t="s">
        <v>45</v>
      </c>
      <c r="B17" s="10">
        <v>100</v>
      </c>
      <c r="C17">
        <f>B17*0.9/100</f>
        <v>0.9</v>
      </c>
      <c r="D17">
        <f>B17*2.4/100</f>
        <v>2.4</v>
      </c>
      <c r="E17">
        <f>B17*9.3/100</f>
        <v>9.3000000000000007</v>
      </c>
      <c r="F17">
        <f>B17*40/100</f>
        <v>40</v>
      </c>
      <c r="G17">
        <f>B17*0.1/100</f>
        <v>0.1</v>
      </c>
      <c r="H17">
        <f>B17*10/100</f>
        <v>10</v>
      </c>
      <c r="I17">
        <f>B17*14/100</f>
        <v>14</v>
      </c>
      <c r="J17">
        <f>B17*180/100</f>
        <v>180</v>
      </c>
      <c r="K17">
        <f>B17*0/100</f>
        <v>0</v>
      </c>
      <c r="L17">
        <f>B17*0.07/100</f>
        <v>7.0000000000000007E-2</v>
      </c>
      <c r="M17">
        <f>B17*0.05/100</f>
        <v>0.05</v>
      </c>
      <c r="N17">
        <f>B17*0.025/100</f>
        <v>2.5000000000000001E-2</v>
      </c>
      <c r="O17">
        <f>B17*0.5/100</f>
        <v>0.5</v>
      </c>
      <c r="P17" s="2">
        <f>B17*53.2/100</f>
        <v>53.2</v>
      </c>
      <c r="Q17">
        <f>B17*0.087/100</f>
        <v>8.6999999999999994E-2</v>
      </c>
      <c r="R17">
        <f>B17*0.04/100</f>
        <v>0.04</v>
      </c>
      <c r="S17">
        <f>B17*0.282/100</f>
        <v>0.28199999999999997</v>
      </c>
      <c r="T17">
        <f>B17*8.4/100</f>
        <v>8.4</v>
      </c>
      <c r="U17">
        <f>B17*0.25/100</f>
        <v>0.25</v>
      </c>
      <c r="V17">
        <v>0.06</v>
      </c>
      <c r="W17" s="2">
        <f>B17*30/100</f>
        <v>30</v>
      </c>
      <c r="X17">
        <f>B17*11/100</f>
        <v>11</v>
      </c>
      <c r="Y17">
        <f>B17*0.18/100</f>
        <v>0.18</v>
      </c>
      <c r="Z17">
        <f>B17*0/100</f>
        <v>0</v>
      </c>
    </row>
    <row r="18" spans="1:26">
      <c r="A18" t="s">
        <v>46</v>
      </c>
      <c r="B18" s="10">
        <v>100</v>
      </c>
      <c r="C18">
        <f>B18*0.9/100</f>
        <v>0.9</v>
      </c>
      <c r="D18">
        <f>B18*1.7/100</f>
        <v>1.7</v>
      </c>
      <c r="E18">
        <f>B18*9.2/100</f>
        <v>9.1999999999999993</v>
      </c>
      <c r="F18">
        <f>B18*30/100</f>
        <v>30</v>
      </c>
      <c r="G18">
        <f>B18*0.15/100</f>
        <v>0.15</v>
      </c>
      <c r="H18">
        <f>B18*10/100</f>
        <v>10</v>
      </c>
      <c r="I18">
        <f>B18*21/100</f>
        <v>21</v>
      </c>
      <c r="J18">
        <f>B18*180/100</f>
        <v>180</v>
      </c>
      <c r="K18">
        <f>B18*1/100</f>
        <v>1</v>
      </c>
      <c r="L18">
        <f>B18*0.06/100</f>
        <v>0.06</v>
      </c>
      <c r="M18">
        <f>B18*0.043/100</f>
        <v>4.2999999999999997E-2</v>
      </c>
      <c r="N18">
        <f>B18*0.023/100</f>
        <v>2.3E-2</v>
      </c>
      <c r="O18">
        <f>B18*0.1/100</f>
        <v>0.1</v>
      </c>
      <c r="P18" s="2">
        <f>B18*48.8/100</f>
        <v>48.8</v>
      </c>
      <c r="Q18">
        <f>B18*0.086/100</f>
        <v>8.5999999999999993E-2</v>
      </c>
      <c r="R18">
        <f>B18*0.03/100</f>
        <v>0.03</v>
      </c>
      <c r="S18">
        <f>B18*0.636/100</f>
        <v>0.63600000000000001</v>
      </c>
      <c r="T18">
        <f>B18*14/100</f>
        <v>14</v>
      </c>
      <c r="U18">
        <f>B18*0.151/100</f>
        <v>0.151</v>
      </c>
      <c r="V18">
        <v>7.4999999999999997E-2</v>
      </c>
      <c r="W18" s="2">
        <f>B18*24/100</f>
        <v>24</v>
      </c>
      <c r="X18">
        <f>B18*0/100</f>
        <v>0</v>
      </c>
      <c r="Y18">
        <f>B18*0.2/100</f>
        <v>0.2</v>
      </c>
      <c r="Z18">
        <f>B18*0/100</f>
        <v>0</v>
      </c>
    </row>
    <row r="19" spans="1:26">
      <c r="A19" t="s">
        <v>47</v>
      </c>
      <c r="B19" s="10">
        <v>100</v>
      </c>
      <c r="C19">
        <f>B19*0.9/100</f>
        <v>0.9</v>
      </c>
      <c r="D19">
        <f>B19*4.3/100</f>
        <v>4.3</v>
      </c>
      <c r="F19">
        <f>B19*25/100</f>
        <v>25</v>
      </c>
      <c r="G19">
        <f>B19*0.3/100</f>
        <v>0.3</v>
      </c>
      <c r="H19">
        <f>B19*10/100</f>
        <v>10</v>
      </c>
      <c r="I19">
        <f>B19*27/100</f>
        <v>27</v>
      </c>
      <c r="J19">
        <f>B19*200/100</f>
        <v>200</v>
      </c>
      <c r="K19">
        <f>B19*1/100</f>
        <v>1</v>
      </c>
      <c r="L19">
        <f>B19*0.12/100</f>
        <v>0.12</v>
      </c>
      <c r="M19">
        <f>B19*0.07/100</f>
        <v>7.0000000000000007E-2</v>
      </c>
      <c r="N19">
        <f>B19*0.144/100</f>
        <v>0.14399999999999999</v>
      </c>
      <c r="O19">
        <f>B19*0.6/100</f>
        <v>0.6</v>
      </c>
      <c r="P19" s="2">
        <f>B19*27.7/100</f>
        <v>27.7</v>
      </c>
      <c r="Q19">
        <f>B19*0.04/100</f>
        <v>0.04</v>
      </c>
      <c r="R19">
        <f>B19*0.03/100</f>
        <v>0.03</v>
      </c>
      <c r="S19">
        <f>B19*0.3/100</f>
        <v>0.3</v>
      </c>
      <c r="T19">
        <f>B19*0/100</f>
        <v>0</v>
      </c>
      <c r="U19">
        <f>B19*0.286/100</f>
        <v>0.28599999999999998</v>
      </c>
      <c r="V19">
        <v>0.08</v>
      </c>
      <c r="W19">
        <f>B19*6/100</f>
        <v>6</v>
      </c>
      <c r="X19">
        <f>B19*15/100</f>
        <v>15</v>
      </c>
      <c r="Y19">
        <f>B19*0.37/100</f>
        <v>0.37</v>
      </c>
      <c r="Z19">
        <f>B19*0/100</f>
        <v>0</v>
      </c>
    </row>
    <row r="20" spans="1:26">
      <c r="A20" t="s">
        <v>48</v>
      </c>
      <c r="B20" s="10">
        <v>100</v>
      </c>
      <c r="C20">
        <f>B20*0.9/100</f>
        <v>0.9</v>
      </c>
      <c r="D20">
        <f>B20*1.5/100</f>
        <v>1.5</v>
      </c>
      <c r="E20">
        <f>B20*8.4/100</f>
        <v>8.4</v>
      </c>
      <c r="F20">
        <f>B20*6/100</f>
        <v>6</v>
      </c>
      <c r="G20">
        <f>B20*0.25/100</f>
        <v>0.25</v>
      </c>
      <c r="H20">
        <f>B20*9/100</f>
        <v>9</v>
      </c>
      <c r="I20">
        <f>B20*20/100</f>
        <v>20</v>
      </c>
      <c r="J20">
        <f>B20*190/100</f>
        <v>190</v>
      </c>
      <c r="K20">
        <f>B20*0/100</f>
        <v>0</v>
      </c>
      <c r="L20">
        <f>B20*0.17/100</f>
        <v>0.17</v>
      </c>
      <c r="M20">
        <f>B20*0.07/100</f>
        <v>7.0000000000000007E-2</v>
      </c>
      <c r="N20">
        <f>B20*0.061/100</f>
        <v>6.0999999999999999E-2</v>
      </c>
      <c r="O20">
        <f>B20*0.1/100</f>
        <v>0.1</v>
      </c>
      <c r="P20">
        <f>B20*6.6/100</f>
        <v>6.6</v>
      </c>
      <c r="Q20">
        <f>B20*0.024/100</f>
        <v>2.4E-2</v>
      </c>
      <c r="R20">
        <f>B20*0.031/100</f>
        <v>3.1E-2</v>
      </c>
      <c r="S20">
        <f>B20*0.806/100</f>
        <v>0.80600000000000005</v>
      </c>
      <c r="T20">
        <f>B20*6.1/100</f>
        <v>6.1</v>
      </c>
      <c r="U20">
        <f>B20*0.153/100</f>
        <v>0.153</v>
      </c>
      <c r="V20">
        <v>2.5000000000000001E-2</v>
      </c>
      <c r="W20">
        <f>B20*4/100</f>
        <v>4</v>
      </c>
      <c r="X20">
        <f>B20*16/100</f>
        <v>16</v>
      </c>
      <c r="Y20">
        <f>B20*0.73/100</f>
        <v>0.73</v>
      </c>
      <c r="Z20">
        <f>B20*2.6/100</f>
        <v>2.6</v>
      </c>
    </row>
    <row r="21" spans="1:26">
      <c r="A21" t="s">
        <v>49</v>
      </c>
      <c r="B21" s="10">
        <v>100</v>
      </c>
      <c r="C21">
        <f>B21*0.8/100</f>
        <v>0.8</v>
      </c>
      <c r="D21">
        <f>B21*2.4/100</f>
        <v>2.4</v>
      </c>
      <c r="E21">
        <f>B21*10/100</f>
        <v>10</v>
      </c>
      <c r="F21">
        <f>B21*6/100</f>
        <v>6</v>
      </c>
      <c r="G21">
        <f>B21*0.3/100</f>
        <v>0.3</v>
      </c>
      <c r="H21">
        <f>B21*6/100</f>
        <v>6</v>
      </c>
      <c r="I21">
        <f>B21*12/100</f>
        <v>12</v>
      </c>
      <c r="J21">
        <f>B21*80/100</f>
        <v>80</v>
      </c>
      <c r="K21">
        <f>B21*1/100</f>
        <v>1</v>
      </c>
      <c r="L21">
        <f>B21*0.16/100</f>
        <v>0.16</v>
      </c>
      <c r="M21">
        <f>B21*0.057/100</f>
        <v>5.7000000000000002E-2</v>
      </c>
      <c r="N21" s="2">
        <f>B21*0.336/100</f>
        <v>0.33600000000000002</v>
      </c>
      <c r="O21">
        <f>B21*0.1/100</f>
        <v>0.1</v>
      </c>
      <c r="P21">
        <f>B21*9.7/100</f>
        <v>9.6999999999999993</v>
      </c>
      <c r="Q21">
        <f>B21*0.037/100</f>
        <v>3.6999999999999998E-2</v>
      </c>
      <c r="R21">
        <f>B21*0.041/100</f>
        <v>4.1000000000000009E-2</v>
      </c>
      <c r="S21">
        <f>B21*0.418/100</f>
        <v>0.41799999999999998</v>
      </c>
      <c r="T21">
        <f>B21*6/100</f>
        <v>6</v>
      </c>
      <c r="U21">
        <f>B21*0.124/100</f>
        <v>0.124</v>
      </c>
      <c r="V21">
        <v>5.1999999999999998E-2</v>
      </c>
      <c r="W21">
        <f>B21*6/100</f>
        <v>6</v>
      </c>
      <c r="X21">
        <f>B21*3/100</f>
        <v>3</v>
      </c>
      <c r="Y21">
        <f>B21*0.57/100</f>
        <v>0.56999999999999995</v>
      </c>
      <c r="Z21" s="2">
        <f>B21*19.3/100</f>
        <v>19.3</v>
      </c>
    </row>
    <row r="22" spans="1:26">
      <c r="A22" t="s">
        <v>50</v>
      </c>
      <c r="B22" s="10">
        <v>100</v>
      </c>
      <c r="C22">
        <f>B22*0.8/100</f>
        <v>0.8</v>
      </c>
      <c r="D22">
        <f>B22*1.6/100</f>
        <v>1.6</v>
      </c>
      <c r="E22">
        <f>B22*7/100</f>
        <v>7</v>
      </c>
      <c r="F22">
        <f>B22*22/100</f>
        <v>22</v>
      </c>
      <c r="G22">
        <f>B22*0.1/100</f>
        <v>0.1</v>
      </c>
      <c r="H22">
        <f>B22*9/100</f>
        <v>9</v>
      </c>
      <c r="I22">
        <f>B22*18/100</f>
        <v>18</v>
      </c>
      <c r="J22">
        <f>B22*135/100</f>
        <v>135</v>
      </c>
      <c r="K22">
        <f>B22*0/100</f>
        <v>0</v>
      </c>
      <c r="L22">
        <f>B22*0.07/100</f>
        <v>7.0000000000000007E-2</v>
      </c>
      <c r="M22">
        <f>B22*0.03/100</f>
        <v>0.03</v>
      </c>
      <c r="N22">
        <f>B22*0.022/100</f>
        <v>2.1999999999999999E-2</v>
      </c>
      <c r="O22">
        <f>B22*0.1/100</f>
        <v>0.1</v>
      </c>
      <c r="P22" s="2">
        <f>B22*31.2/100</f>
        <v>31.2</v>
      </c>
      <c r="Q22">
        <f>B22*0.043/100</f>
        <v>4.2999999999999997E-2</v>
      </c>
      <c r="R22">
        <f>B22*0.031/100</f>
        <v>3.1E-2</v>
      </c>
      <c r="S22">
        <f>B22*0.204/100</f>
        <v>0.20399999999999999</v>
      </c>
      <c r="T22">
        <f>B22*7.7/100</f>
        <v>7.7</v>
      </c>
      <c r="U22">
        <f>B22*0.262/100</f>
        <v>0.26200000000000001</v>
      </c>
      <c r="V22">
        <v>5.2999999999999999E-2</v>
      </c>
      <c r="W22" s="2">
        <f>B22*13/100</f>
        <v>13</v>
      </c>
      <c r="X22" s="2">
        <f>B22*58/100</f>
        <v>58</v>
      </c>
      <c r="Y22">
        <f>B22*0.13/100</f>
        <v>0.13</v>
      </c>
      <c r="Z22">
        <f>B22*0/100</f>
        <v>0</v>
      </c>
    </row>
    <row r="23" spans="1:26">
      <c r="A23" t="s">
        <v>51</v>
      </c>
      <c r="B23" s="10">
        <v>100</v>
      </c>
      <c r="C23">
        <f>B23*0.8/100</f>
        <v>0.8</v>
      </c>
      <c r="D23">
        <f>B23*1.6/100</f>
        <v>1.6</v>
      </c>
      <c r="E23">
        <f>B23*13.7/100</f>
        <v>13.7</v>
      </c>
      <c r="F23">
        <f>B23*11/100</f>
        <v>11</v>
      </c>
      <c r="G23">
        <f>B23*0.15/100</f>
        <v>0.15</v>
      </c>
      <c r="H23">
        <f>B23*10/100</f>
        <v>10</v>
      </c>
      <c r="I23">
        <f>B23*15/100</f>
        <v>15</v>
      </c>
      <c r="J23">
        <f>B23*170/100</f>
        <v>170</v>
      </c>
      <c r="K23">
        <f>B23*1/100</f>
        <v>1</v>
      </c>
      <c r="L23">
        <f>B23*0.1/100</f>
        <v>0.1</v>
      </c>
      <c r="M23" s="2">
        <f>B23*0.111/100</f>
        <v>0.111</v>
      </c>
      <c r="N23">
        <f>B23*0.063/100</f>
        <v>6.3E-2</v>
      </c>
      <c r="O23">
        <f>B23*0.6/100</f>
        <v>0.6</v>
      </c>
      <c r="P23" s="2">
        <f>B23*36.4/100</f>
        <v>36.4</v>
      </c>
      <c r="Q23">
        <f>B23*0.028/100</f>
        <v>2.8000000000000004E-2</v>
      </c>
      <c r="R23">
        <f>B23*0.038/100</f>
        <v>3.7999999999999999E-2</v>
      </c>
      <c r="S23">
        <f>B23*0.669/100</f>
        <v>0.66900000000000004</v>
      </c>
      <c r="T23">
        <f>B23*7.6/100</f>
        <v>7.6</v>
      </c>
      <c r="U23">
        <f>B23*0.197/100</f>
        <v>0.19699999999999998</v>
      </c>
      <c r="V23" s="2">
        <v>0.11899999999999999</v>
      </c>
      <c r="W23" s="2">
        <f>B23*43/100</f>
        <v>43</v>
      </c>
      <c r="X23" s="2">
        <f>B23*54/100</f>
        <v>54</v>
      </c>
      <c r="Y23">
        <f>B23*0.9/100</f>
        <v>0.9</v>
      </c>
      <c r="Z23">
        <f>B23*4.2/100</f>
        <v>4.2</v>
      </c>
    </row>
    <row r="24" spans="1:26">
      <c r="A24" t="s">
        <v>52</v>
      </c>
      <c r="B24" s="10">
        <v>100</v>
      </c>
      <c r="C24">
        <f>B24*0.8/100</f>
        <v>0.8</v>
      </c>
      <c r="D24">
        <f>B24*1.8/100</f>
        <v>1.8</v>
      </c>
      <c r="E24">
        <f>B24*10.6/100</f>
        <v>10.6</v>
      </c>
      <c r="F24">
        <f>B24*40/100</f>
        <v>40</v>
      </c>
      <c r="G24">
        <f>B24*0.15/100</f>
        <v>0.15</v>
      </c>
      <c r="H24">
        <f>B24*12/100</f>
        <v>12</v>
      </c>
      <c r="I24">
        <f>B24*20/100</f>
        <v>20</v>
      </c>
      <c r="J24">
        <f>B24*170/100</f>
        <v>170</v>
      </c>
      <c r="K24">
        <f>B24*2/100</f>
        <v>2</v>
      </c>
      <c r="L24">
        <f>B24*0.07/100</f>
        <v>7.0000000000000007E-2</v>
      </c>
      <c r="M24">
        <f>B24*0.04/100</f>
        <v>0.04</v>
      </c>
      <c r="N24">
        <f>B24*0.039/100</f>
        <v>3.9E-2</v>
      </c>
      <c r="O24">
        <f>B24*0.1/100</f>
        <v>0.1</v>
      </c>
      <c r="P24" s="2">
        <f>B24*26.7/100</f>
        <v>26.7</v>
      </c>
      <c r="Q24">
        <f>B24*0.058/100</f>
        <v>5.800000000000001E-2</v>
      </c>
      <c r="R24">
        <f>B24*0.036/100</f>
        <v>3.5999999999999997E-2</v>
      </c>
      <c r="S24">
        <f>B24*0.376/100</f>
        <v>0.376</v>
      </c>
      <c r="T24">
        <f>B24*10.2/100</f>
        <v>10.199999999999999</v>
      </c>
      <c r="U24">
        <f>B24*0.216/100</f>
        <v>0.21600000000000003</v>
      </c>
      <c r="V24">
        <v>7.8E-2</v>
      </c>
      <c r="W24" s="2">
        <f>B24*16/100</f>
        <v>16</v>
      </c>
      <c r="X24">
        <f>B24*34/100</f>
        <v>34</v>
      </c>
      <c r="Y24">
        <f>B24*0.2/100</f>
        <v>0.2</v>
      </c>
      <c r="Z24">
        <f>B24*0/100</f>
        <v>0</v>
      </c>
    </row>
    <row r="25" spans="1:26">
      <c r="A25" t="s">
        <v>53</v>
      </c>
      <c r="B25" s="10">
        <v>100</v>
      </c>
      <c r="C25">
        <f>B25*0.8/100</f>
        <v>0.8</v>
      </c>
      <c r="D25">
        <f>B25*1/100</f>
        <v>1</v>
      </c>
      <c r="F25">
        <f>B25*4/100</f>
        <v>4</v>
      </c>
      <c r="G25">
        <f>B25*0.1/100</f>
        <v>0.1</v>
      </c>
      <c r="H25">
        <f>B25*6/100</f>
        <v>6</v>
      </c>
      <c r="I25">
        <f>B25*17/100</f>
        <v>17</v>
      </c>
      <c r="J25">
        <f>B25*215/100</f>
        <v>215</v>
      </c>
      <c r="K25">
        <f>B25*1/100</f>
        <v>1</v>
      </c>
      <c r="L25">
        <f>B25*0.08/100</f>
        <v>0.08</v>
      </c>
      <c r="M25">
        <f>B25*0.048/100</f>
        <v>4.8000000000000001E-2</v>
      </c>
      <c r="N25">
        <f>B25*0.017/100</f>
        <v>1.7000000000000001E-2</v>
      </c>
      <c r="O25">
        <f>B25*0/100</f>
        <v>0</v>
      </c>
      <c r="P25" s="2">
        <f>B25*61/100</f>
        <v>61</v>
      </c>
      <c r="Q25">
        <f>B25*0.034/100</f>
        <v>3.4000000000000002E-2</v>
      </c>
      <c r="R25">
        <f>B25*0.027/100</f>
        <v>2.7000000000000003E-2</v>
      </c>
      <c r="S25">
        <f>B25*0.22/100</f>
        <v>0.22</v>
      </c>
      <c r="T25">
        <f>B25*0/100</f>
        <v>0</v>
      </c>
      <c r="U25">
        <f>B25*0/100</f>
        <v>0</v>
      </c>
      <c r="V25">
        <v>3.5999999999999997E-2</v>
      </c>
      <c r="W25">
        <f>B25*0/100</f>
        <v>0</v>
      </c>
      <c r="X25">
        <f>B25*0/100</f>
        <v>0</v>
      </c>
      <c r="Y25">
        <f>B25*0/100</f>
        <v>0</v>
      </c>
      <c r="Z25">
        <f>B25*0/100</f>
        <v>0</v>
      </c>
    </row>
    <row r="26" spans="1:26">
      <c r="A26" t="s">
        <v>54</v>
      </c>
      <c r="B26" s="10">
        <v>100</v>
      </c>
      <c r="C26">
        <f>B26*0.7/100</f>
        <v>0.7</v>
      </c>
      <c r="D26">
        <f>B26*0.9/100</f>
        <v>0.9</v>
      </c>
      <c r="E26">
        <f>B26*15.5/100</f>
        <v>15.5</v>
      </c>
      <c r="F26">
        <f>B26*10/100</f>
        <v>10</v>
      </c>
      <c r="G26">
        <f>B26*0.35/100</f>
        <v>0.35</v>
      </c>
      <c r="H26">
        <f>B26*7/100</f>
        <v>7</v>
      </c>
      <c r="I26">
        <f>B26*20/100</f>
        <v>20</v>
      </c>
      <c r="J26">
        <f>B26*190/100</f>
        <v>190</v>
      </c>
      <c r="K26">
        <f>B26*2/100</f>
        <v>2</v>
      </c>
      <c r="L26">
        <f>B26*0.07/100</f>
        <v>7.0000000000000007E-2</v>
      </c>
      <c r="M26" s="2">
        <f>B26*0.127/100</f>
        <v>0.127</v>
      </c>
      <c r="N26">
        <f>B26*0.071/100</f>
        <v>7.0999999999999994E-2</v>
      </c>
      <c r="O26">
        <f>B26*0.1/100</f>
        <v>0.1</v>
      </c>
      <c r="P26">
        <f>B26*3.2/100</f>
        <v>3.2</v>
      </c>
      <c r="Q26">
        <f>B26*0.069/100</f>
        <v>6.9000000000000006E-2</v>
      </c>
      <c r="R26">
        <f>B26*0.07/100</f>
        <v>7.0000000000000007E-2</v>
      </c>
      <c r="S26">
        <f>B26*0.188/100</f>
        <v>0.188</v>
      </c>
      <c r="T26">
        <f>B26*5.6/100</f>
        <v>5.6</v>
      </c>
      <c r="U26">
        <f>B26*0.05/100</f>
        <v>0.05</v>
      </c>
      <c r="V26">
        <v>8.5999999999999993E-2</v>
      </c>
      <c r="W26">
        <f>B26*2/100</f>
        <v>2</v>
      </c>
      <c r="X26">
        <f>B26*3/100</f>
        <v>3</v>
      </c>
      <c r="Y26">
        <f>B26*0.19/100</f>
        <v>0.19</v>
      </c>
      <c r="Z26" s="2">
        <f>B26*14.6/100</f>
        <v>14.6</v>
      </c>
    </row>
    <row r="27" spans="1:26">
      <c r="A27" t="s">
        <v>55</v>
      </c>
      <c r="B27" s="10">
        <v>100</v>
      </c>
      <c r="C27">
        <f>B27*0.7/100</f>
        <v>0.7</v>
      </c>
      <c r="D27">
        <f>B27*3/100</f>
        <v>3</v>
      </c>
      <c r="E27">
        <f>B27*16/100</f>
        <v>16</v>
      </c>
      <c r="F27">
        <f>B27*35/100</f>
        <v>35</v>
      </c>
      <c r="G27">
        <f>B27*0.37/100</f>
        <v>0.37</v>
      </c>
      <c r="H27">
        <f>B27*17/100</f>
        <v>17</v>
      </c>
      <c r="I27">
        <f>B27*14/100</f>
        <v>14</v>
      </c>
      <c r="J27">
        <f>B27*230/100</f>
        <v>230</v>
      </c>
      <c r="K27">
        <f>B27*1/100</f>
        <v>1</v>
      </c>
      <c r="L27">
        <f>B27*0.15/100</f>
        <v>0.15</v>
      </c>
      <c r="M27">
        <f>B27*0.07/100</f>
        <v>7.0000000000000007E-2</v>
      </c>
      <c r="N27">
        <f>B27*0.128/100</f>
        <v>0.128</v>
      </c>
      <c r="O27">
        <f>B27*0.2/100</f>
        <v>0.2</v>
      </c>
      <c r="P27">
        <f>B27*2/100</f>
        <v>2</v>
      </c>
      <c r="Q27">
        <f>B27*0.06/100</f>
        <v>0.06</v>
      </c>
      <c r="R27">
        <f>B27*0.05/100</f>
        <v>0.05</v>
      </c>
      <c r="S27">
        <f>B27*0.4/100</f>
        <v>0.4</v>
      </c>
      <c r="T27">
        <f>B27*4.7/100</f>
        <v>4.7</v>
      </c>
      <c r="U27">
        <f>B27*0.3/100</f>
        <v>0.3</v>
      </c>
      <c r="V27" s="2">
        <v>0.113</v>
      </c>
      <c r="W27">
        <f>B27*6/100</f>
        <v>6</v>
      </c>
      <c r="X27">
        <f>B27*7/100</f>
        <v>7</v>
      </c>
      <c r="Y27">
        <f>B27*0.11/100</f>
        <v>0.11</v>
      </c>
      <c r="Z27">
        <f>B27*4.7/100</f>
        <v>4.7</v>
      </c>
    </row>
    <row r="28" spans="1:26">
      <c r="A28" t="s">
        <v>56</v>
      </c>
      <c r="B28" s="10">
        <v>100</v>
      </c>
      <c r="C28">
        <f>B28*0.7/100</f>
        <v>0.7</v>
      </c>
      <c r="D28">
        <f>B28*2/100</f>
        <v>2</v>
      </c>
      <c r="E28">
        <f>B28*5/100</f>
        <v>5</v>
      </c>
      <c r="F28">
        <f>B28*16/100</f>
        <v>16</v>
      </c>
      <c r="G28">
        <f>B28*0.4/100</f>
        <v>0.4</v>
      </c>
      <c r="H28">
        <f>B28*13/100</f>
        <v>13</v>
      </c>
      <c r="I28">
        <f>B28*25/100</f>
        <v>25</v>
      </c>
      <c r="J28">
        <f>B28*150/100</f>
        <v>150</v>
      </c>
      <c r="K28">
        <f>B28*1/100</f>
        <v>1</v>
      </c>
      <c r="L28">
        <f>B28*0.15/100</f>
        <v>0.15</v>
      </c>
      <c r="M28">
        <f>B28*0.048/100</f>
        <v>4.8000000000000001E-2</v>
      </c>
      <c r="N28" s="2">
        <f>B28*0.386/100</f>
        <v>0.38600000000000001</v>
      </c>
      <c r="O28">
        <f>B28*0.4/100</f>
        <v>0.4</v>
      </c>
      <c r="P28" s="2">
        <f>B28*58.8/100</f>
        <v>58.8</v>
      </c>
      <c r="Q28">
        <f>B28*0.024/100</f>
        <v>2.4E-2</v>
      </c>
      <c r="R28">
        <f>B28*0.022/100</f>
        <v>2.1999999999999999E-2</v>
      </c>
      <c r="S28">
        <f>B28*0.386/100</f>
        <v>0.38600000000000001</v>
      </c>
      <c r="T28">
        <f>B28*5.7/100</f>
        <v>5.7</v>
      </c>
      <c r="U28">
        <f>B28*0.125/100</f>
        <v>0.125</v>
      </c>
      <c r="V28">
        <v>4.7E-2</v>
      </c>
      <c r="W28" s="2">
        <f>B28*24/100</f>
        <v>24</v>
      </c>
      <c r="X28">
        <f>B28*1/100</f>
        <v>1</v>
      </c>
      <c r="Y28">
        <f>B28*0.29/100</f>
        <v>0.28999999999999998</v>
      </c>
      <c r="Z28">
        <f>B28*2.2/100</f>
        <v>2.2000000000000002</v>
      </c>
    </row>
    <row r="29" spans="1:26">
      <c r="A29" t="s">
        <v>57</v>
      </c>
      <c r="B29" s="10">
        <v>100</v>
      </c>
      <c r="C29">
        <f>B29*0.7/100</f>
        <v>0.7</v>
      </c>
      <c r="D29">
        <f>B29*1.4/100</f>
        <v>1.4</v>
      </c>
      <c r="E29">
        <f>B29*10/100</f>
        <v>10</v>
      </c>
      <c r="F29">
        <f>B29*6/100</f>
        <v>6</v>
      </c>
      <c r="G29">
        <f>B29*0.17/100</f>
        <v>0.17</v>
      </c>
      <c r="H29">
        <f>B29*7/100</f>
        <v>7</v>
      </c>
      <c r="I29">
        <f>B29*16/100</f>
        <v>16</v>
      </c>
      <c r="J29">
        <f>B29*160/100</f>
        <v>160</v>
      </c>
      <c r="K29">
        <f>B29*0/100</f>
        <v>0</v>
      </c>
      <c r="L29">
        <f>B29*0.1/100</f>
        <v>0.1</v>
      </c>
      <c r="M29">
        <f>B29*0.057/100</f>
        <v>5.7000000000000002E-2</v>
      </c>
      <c r="N29">
        <f>B29*0.052/100</f>
        <v>5.2000000000000005E-2</v>
      </c>
      <c r="O29">
        <f>B29*0/100</f>
        <v>0</v>
      </c>
      <c r="P29">
        <f>B29*9.5/100</f>
        <v>9.5</v>
      </c>
      <c r="Q29">
        <f>B29*0.028/100</f>
        <v>2.8000000000000004E-2</v>
      </c>
      <c r="R29">
        <f>B29*0.026/100</f>
        <v>2.6000000000000002E-2</v>
      </c>
      <c r="S29">
        <f>B29*0.417/100</f>
        <v>0.41699999999999998</v>
      </c>
      <c r="T29">
        <f>B29*1.9/100</f>
        <v>1.9</v>
      </c>
      <c r="U29">
        <f>B29*0.135/100</f>
        <v>0.13500000000000001</v>
      </c>
      <c r="V29">
        <v>2.9000000000000001E-2</v>
      </c>
      <c r="W29">
        <f>B29*5/100</f>
        <v>5</v>
      </c>
      <c r="X29">
        <f>B29*17/100</f>
        <v>17</v>
      </c>
      <c r="Y29">
        <f>B29*0.26/100</f>
        <v>0.26</v>
      </c>
      <c r="Z29">
        <f>B29*6.4/100</f>
        <v>6.4</v>
      </c>
    </row>
    <row r="30" spans="1:26">
      <c r="A30" t="s">
        <v>58</v>
      </c>
      <c r="B30" s="10">
        <v>100</v>
      </c>
      <c r="C30">
        <f>B30*0.6/100</f>
        <v>0.6</v>
      </c>
      <c r="D30">
        <f>B30*0.4/100</f>
        <v>0.4</v>
      </c>
      <c r="E30">
        <f>B30*6/100</f>
        <v>6</v>
      </c>
      <c r="F30">
        <f>B30*7/100</f>
        <v>7</v>
      </c>
      <c r="G30">
        <f>B30*0.25/100</f>
        <v>0.25</v>
      </c>
      <c r="H30">
        <f>B30*10/100</f>
        <v>10</v>
      </c>
      <c r="I30">
        <f>B30*11/100</f>
        <v>11</v>
      </c>
      <c r="J30">
        <f>B30*110/100</f>
        <v>110</v>
      </c>
      <c r="K30">
        <f>B30*1/100</f>
        <v>1</v>
      </c>
      <c r="L30">
        <f>B30*0.1/100</f>
        <v>0.1</v>
      </c>
      <c r="M30">
        <f>B30*0.042/100</f>
        <v>4.2000000000000003E-2</v>
      </c>
      <c r="N30">
        <f>B30*0.038/100</f>
        <v>3.7999999999999999E-2</v>
      </c>
      <c r="O30">
        <f>B30*0.4/100</f>
        <v>0.4</v>
      </c>
      <c r="P30">
        <f>B30*8.1/100</f>
        <v>8.1</v>
      </c>
      <c r="Q30">
        <f>B30*0.033/100</f>
        <v>3.3000000000000002E-2</v>
      </c>
      <c r="R30">
        <f>B30*0.021/100</f>
        <v>2.1000000000000001E-2</v>
      </c>
      <c r="S30">
        <f>B30*0.178/100</f>
        <v>0.17800000000000002</v>
      </c>
      <c r="T30">
        <f>B30*4.1/100</f>
        <v>4.0999999999999996</v>
      </c>
      <c r="U30">
        <f>B30*0.221/100</f>
        <v>0.221</v>
      </c>
      <c r="V30">
        <v>4.4999999999999998E-2</v>
      </c>
      <c r="W30">
        <f>B30*3/100</f>
        <v>3</v>
      </c>
      <c r="X30">
        <f>B30*28/100</f>
        <v>28</v>
      </c>
      <c r="Y30">
        <f>B30*0.05/100</f>
        <v>0.05</v>
      </c>
      <c r="Z30">
        <f>B30*0.1/100</f>
        <v>0.1</v>
      </c>
    </row>
    <row r="31" spans="1:26">
      <c r="A31" t="s">
        <v>59</v>
      </c>
      <c r="B31" s="10">
        <v>100</v>
      </c>
      <c r="C31">
        <f>B31*0.6/100</f>
        <v>0.6</v>
      </c>
      <c r="D31">
        <f>B31*3.6/100</f>
        <v>3.6</v>
      </c>
      <c r="E31">
        <f>B31*12.5/100</f>
        <v>12.5</v>
      </c>
      <c r="F31">
        <f>B31*150/100</f>
        <v>150</v>
      </c>
      <c r="G31">
        <f>B31*2.5/100</f>
        <v>2.5</v>
      </c>
      <c r="H31">
        <f>B31*9/100</f>
        <v>9</v>
      </c>
      <c r="I31">
        <f>B31*17/100</f>
        <v>17</v>
      </c>
      <c r="J31">
        <f>B31*160/100</f>
        <v>160</v>
      </c>
      <c r="K31">
        <f>B31*1/100</f>
        <v>1</v>
      </c>
      <c r="L31">
        <f>B31*0.1/100</f>
        <v>0.1</v>
      </c>
      <c r="M31" s="2">
        <f>B31*0.113/100</f>
        <v>0.113</v>
      </c>
      <c r="N31" s="2">
        <f>B31*0.355/100</f>
        <v>0.35499999999999998</v>
      </c>
      <c r="O31">
        <f>B31*0.6/100</f>
        <v>0.6</v>
      </c>
      <c r="P31">
        <f>B31*7.5/100</f>
        <v>7.5</v>
      </c>
      <c r="Q31">
        <f>B31*0.03/100</f>
        <v>0.03</v>
      </c>
      <c r="R31">
        <f>B31*0.02/100</f>
        <v>0.02</v>
      </c>
      <c r="S31">
        <f>B31*0.1/100</f>
        <v>0.1</v>
      </c>
      <c r="T31">
        <f>B31*0/100</f>
        <v>0</v>
      </c>
      <c r="U31" s="3">
        <f>B31*7.6/100</f>
        <v>7.6</v>
      </c>
      <c r="V31" s="2">
        <v>0.1</v>
      </c>
      <c r="W31">
        <f>B31*8/100</f>
        <v>8</v>
      </c>
      <c r="X31">
        <f>B31*81/100</f>
        <v>81</v>
      </c>
      <c r="Y31">
        <f>B31*0.73/100</f>
        <v>0.73</v>
      </c>
      <c r="Z31">
        <f>B31*2.6/100</f>
        <v>2.6</v>
      </c>
    </row>
    <row r="32" spans="1:26">
      <c r="A32" t="s">
        <v>60</v>
      </c>
      <c r="B32" s="10">
        <v>100</v>
      </c>
      <c r="C32">
        <f>B32*0.5/100</f>
        <v>0.5</v>
      </c>
      <c r="D32">
        <f>B32*1.4/100</f>
        <v>1.4</v>
      </c>
      <c r="E32">
        <f>B32*10/100</f>
        <v>10</v>
      </c>
      <c r="F32">
        <f>B32*13/100</f>
        <v>13</v>
      </c>
      <c r="G32">
        <f>B32*0.3/100</f>
        <v>0.3</v>
      </c>
      <c r="H32">
        <f>B32*12/100</f>
        <v>12</v>
      </c>
      <c r="I32">
        <f>B32*8/100</f>
        <v>8</v>
      </c>
      <c r="J32">
        <f>B32*110/100</f>
        <v>110</v>
      </c>
      <c r="K32">
        <f>B32*1/100</f>
        <v>1</v>
      </c>
      <c r="L32">
        <f>B32*0.12/100</f>
        <v>0.12</v>
      </c>
      <c r="M32" s="2">
        <f>B32*0.11/100</f>
        <v>0.11</v>
      </c>
      <c r="N32" s="2">
        <f>B32*0.927/100</f>
        <v>0.92700000000000005</v>
      </c>
      <c r="O32">
        <f>B32*0.1/100</f>
        <v>0.1</v>
      </c>
      <c r="P32" s="2">
        <f>B32*47.8/100</f>
        <v>47.8</v>
      </c>
      <c r="Q32">
        <f>B32*0.079/100</f>
        <v>7.9000000000000001E-2</v>
      </c>
      <c r="R32">
        <f>B32*0.032/100</f>
        <v>3.2000000000000001E-2</v>
      </c>
      <c r="S32">
        <f>B32*0.5/100</f>
        <v>0.5</v>
      </c>
      <c r="T32">
        <f>B32*5.5/100</f>
        <v>5.5</v>
      </c>
      <c r="U32">
        <f>B32*0.213/100</f>
        <v>0.21299999999999999</v>
      </c>
      <c r="V32" s="2">
        <v>0.112</v>
      </c>
      <c r="W32" s="2">
        <f>B32*18/100</f>
        <v>18</v>
      </c>
      <c r="X32">
        <f>B32*3/100</f>
        <v>3</v>
      </c>
      <c r="Y32">
        <f>B32*0.02/100</f>
        <v>0.02</v>
      </c>
      <c r="Z32">
        <f>B32*0.7/100</f>
        <v>0.7</v>
      </c>
    </row>
    <row r="33" spans="1:26">
      <c r="A33" t="s">
        <v>61</v>
      </c>
      <c r="B33" s="10">
        <v>100</v>
      </c>
      <c r="C33">
        <f>B33*0.5/100</f>
        <v>0.5</v>
      </c>
      <c r="D33">
        <f>B33*0.8/100</f>
        <v>0.8</v>
      </c>
      <c r="E33">
        <f>B33*8/100</f>
        <v>8</v>
      </c>
      <c r="F33">
        <f>B33*6/100</f>
        <v>6</v>
      </c>
      <c r="G33">
        <f>B33*0.17/100</f>
        <v>0.17</v>
      </c>
      <c r="H33">
        <f>B33*10/100</f>
        <v>10</v>
      </c>
      <c r="I33">
        <f>B33*11/100</f>
        <v>11</v>
      </c>
      <c r="J33">
        <f>B33*230/100</f>
        <v>230</v>
      </c>
      <c r="K33">
        <f>B33*18/100</f>
        <v>18</v>
      </c>
      <c r="L33">
        <f>B33*0.1/100</f>
        <v>0.1</v>
      </c>
      <c r="M33">
        <f>B33*0.024/100</f>
        <v>2.4E-2</v>
      </c>
      <c r="N33">
        <f>B33*0.027/100</f>
        <v>2.7000000000000003E-2</v>
      </c>
      <c r="O33">
        <f>B33*0.7/100</f>
        <v>0.7</v>
      </c>
      <c r="P33">
        <f>B33*18/100</f>
        <v>18</v>
      </c>
      <c r="Q33">
        <f>B33*0.038/100</f>
        <v>3.7999999999999999E-2</v>
      </c>
      <c r="R33">
        <f>B33*0.012/100</f>
        <v>1.2E-2</v>
      </c>
      <c r="S33">
        <f>B33*0.418/100</f>
        <v>0.41799999999999998</v>
      </c>
      <c r="T33">
        <f>B33*7.6/100</f>
        <v>7.6</v>
      </c>
      <c r="U33">
        <f>B33*0.155/100</f>
        <v>0.155</v>
      </c>
      <c r="V33">
        <v>8.7999999999999995E-2</v>
      </c>
      <c r="W33" s="2">
        <f>B33*19/100</f>
        <v>19</v>
      </c>
      <c r="X33">
        <f>B33*3/100</f>
        <v>3</v>
      </c>
      <c r="Y33">
        <f>B33*0.02/100</f>
        <v>0.02</v>
      </c>
      <c r="Z33">
        <f>B33*2.9/100</f>
        <v>2.9</v>
      </c>
    </row>
    <row r="34" spans="1:26">
      <c r="A34" t="s">
        <v>62</v>
      </c>
      <c r="B34" s="10">
        <v>100</v>
      </c>
      <c r="C34">
        <f>B34*0.4/100</f>
        <v>0.4</v>
      </c>
      <c r="D34">
        <f>B34*2/100</f>
        <v>2</v>
      </c>
      <c r="F34">
        <f>B34*11/100</f>
        <v>11</v>
      </c>
      <c r="G34">
        <f>B34*0.7/100</f>
        <v>0.7</v>
      </c>
      <c r="H34">
        <f>B34*8/100</f>
        <v>8</v>
      </c>
      <c r="I34">
        <f>B34*17/100</f>
        <v>17</v>
      </c>
      <c r="J34">
        <f>B34*200/100</f>
        <v>200</v>
      </c>
      <c r="K34">
        <f>B34*4/100</f>
        <v>4</v>
      </c>
      <c r="L34">
        <f>B34*0.04/100</f>
        <v>0.04</v>
      </c>
      <c r="M34" s="2">
        <f>B34*0.13/100</f>
        <v>0.13</v>
      </c>
      <c r="N34">
        <f>B34*0/100</f>
        <v>0</v>
      </c>
      <c r="O34">
        <f>B34*0.6/100</f>
        <v>0.6</v>
      </c>
      <c r="P34">
        <f>B34*15/100</f>
        <v>15</v>
      </c>
      <c r="Q34">
        <f>B34*0.02/100</f>
        <v>0.02</v>
      </c>
      <c r="R34">
        <f>B34*0.03/100</f>
        <v>0.03</v>
      </c>
      <c r="S34">
        <f>B34*0.2/100</f>
        <v>0.2</v>
      </c>
      <c r="T34">
        <f>B34*0/100</f>
        <v>0</v>
      </c>
      <c r="U34">
        <f>B34*0.081/100</f>
        <v>8.1000000000000003E-2</v>
      </c>
      <c r="V34">
        <v>0.04</v>
      </c>
      <c r="W34">
        <f>B34*3/100</f>
        <v>3</v>
      </c>
      <c r="X34">
        <f>B34*2/100</f>
        <v>2</v>
      </c>
      <c r="Y34">
        <f>B34*0/100</f>
        <v>0</v>
      </c>
      <c r="Z34">
        <f>B34*0/100</f>
        <v>0</v>
      </c>
    </row>
    <row r="35" spans="1:26">
      <c r="A35" t="s">
        <v>63</v>
      </c>
      <c r="B35" s="10">
        <v>100</v>
      </c>
      <c r="C35">
        <f>B35*0.4/100</f>
        <v>0.4</v>
      </c>
      <c r="D35">
        <f>B35*3.1/100</f>
        <v>3.1</v>
      </c>
      <c r="E35">
        <f>B35*10/100</f>
        <v>10</v>
      </c>
      <c r="F35">
        <f>B35*9/100</f>
        <v>9</v>
      </c>
      <c r="G35">
        <f>B35*0.17/100</f>
        <v>0.17</v>
      </c>
      <c r="H35">
        <f>B35*7/100</f>
        <v>7</v>
      </c>
      <c r="I35">
        <f>B35*11/100</f>
        <v>11</v>
      </c>
      <c r="J35">
        <f>B35*120/100</f>
        <v>120</v>
      </c>
      <c r="K35">
        <f>B35*1/100</f>
        <v>1</v>
      </c>
      <c r="L35">
        <f>B35*0.1/100</f>
        <v>0.1</v>
      </c>
      <c r="M35">
        <f>B35*0.08/100</f>
        <v>0.08</v>
      </c>
      <c r="N35">
        <f>B35*0.049/100</f>
        <v>4.9000000000000002E-2</v>
      </c>
      <c r="O35">
        <f>B35*0.1/100</f>
        <v>0.1</v>
      </c>
      <c r="P35">
        <f>B35*4.2/100</f>
        <v>4.2</v>
      </c>
      <c r="Q35">
        <f>B35*0.012/100</f>
        <v>1.2E-2</v>
      </c>
      <c r="R35">
        <f>B35*0.025/100</f>
        <v>2.5000000000000001E-2</v>
      </c>
      <c r="S35">
        <f>B35*0.157/100</f>
        <v>0.157</v>
      </c>
      <c r="T35">
        <f>B35*5.1/100</f>
        <v>5.0999999999999996</v>
      </c>
      <c r="U35">
        <f>B35*0.048/100</f>
        <v>4.8000000000000001E-2</v>
      </c>
      <c r="V35">
        <v>2.8000000000000001E-2</v>
      </c>
      <c r="W35">
        <f>B35*7/100</f>
        <v>7</v>
      </c>
      <c r="X35">
        <f>B35*1/100</f>
        <v>1</v>
      </c>
      <c r="Y35">
        <f>B35*0.12/100</f>
        <v>0.12</v>
      </c>
      <c r="Z35">
        <f>B35*4.5/100</f>
        <v>4.5</v>
      </c>
    </row>
    <row r="36" spans="1:26">
      <c r="A36" t="s">
        <v>64</v>
      </c>
      <c r="B36" s="10">
        <v>100</v>
      </c>
      <c r="C36">
        <f>B36*0.4/100</f>
        <v>0.4</v>
      </c>
      <c r="D36">
        <f>B36*4.6/100</f>
        <v>4.5999999999999996</v>
      </c>
      <c r="E36">
        <f>B36*4/100</f>
        <v>4</v>
      </c>
      <c r="F36">
        <f>B36*8/100</f>
        <v>8</v>
      </c>
      <c r="G36">
        <f>B36*0.25/100</f>
        <v>0.25</v>
      </c>
      <c r="H36">
        <f>B36*6/100</f>
        <v>6</v>
      </c>
      <c r="I36">
        <f>B36*13/100</f>
        <v>13</v>
      </c>
      <c r="J36">
        <f>B36*90/100</f>
        <v>90</v>
      </c>
      <c r="K36">
        <f>B36*2/100</f>
        <v>2</v>
      </c>
      <c r="L36">
        <f>B36*0.1/100</f>
        <v>0.1</v>
      </c>
      <c r="M36">
        <f>B36*0.061/100</f>
        <v>6.0999999999999999E-2</v>
      </c>
      <c r="N36" s="2">
        <f>B36*0.36/100</f>
        <v>0.36</v>
      </c>
      <c r="O36">
        <f>B36*0.1/100</f>
        <v>0.1</v>
      </c>
      <c r="P36">
        <f>B36*13.3/100</f>
        <v>13.3</v>
      </c>
      <c r="Q36">
        <f>B36*0.012/100</f>
        <v>1.2E-2</v>
      </c>
      <c r="R36">
        <f>B36*0.02/100</f>
        <v>0.02</v>
      </c>
      <c r="S36">
        <f>B36*0.101/100</f>
        <v>0.10100000000000002</v>
      </c>
      <c r="T36">
        <f>B36*5.5/100</f>
        <v>5.5</v>
      </c>
      <c r="U36">
        <f>B36*0.295/100</f>
        <v>0.29499999999999998</v>
      </c>
      <c r="V36">
        <v>5.7000000000000002E-2</v>
      </c>
      <c r="W36">
        <f>B36*1/100</f>
        <v>1</v>
      </c>
      <c r="X36">
        <f>B36*3/100</f>
        <v>3</v>
      </c>
      <c r="Y36" s="2">
        <f>B36*1.2/100</f>
        <v>1.2</v>
      </c>
      <c r="Z36">
        <f>B36*5.1/100</f>
        <v>5.0999999999999996</v>
      </c>
    </row>
    <row r="37" spans="1:26">
      <c r="A37" t="s">
        <v>65</v>
      </c>
      <c r="B37" s="10">
        <v>100</v>
      </c>
      <c r="C37">
        <f>B37*0.3/100</f>
        <v>0.3</v>
      </c>
      <c r="D37">
        <f>B37*2.4/100</f>
        <v>2.4</v>
      </c>
      <c r="E37">
        <f>B37*10.4/100</f>
        <v>10.4</v>
      </c>
      <c r="F37">
        <f>B37*6/100</f>
        <v>6</v>
      </c>
      <c r="G37">
        <f>B37*0.12/100</f>
        <v>0.12</v>
      </c>
      <c r="H37">
        <f>B37*5/100</f>
        <v>5</v>
      </c>
      <c r="I37">
        <f>B37*11/100</f>
        <v>11</v>
      </c>
      <c r="J37">
        <f>B37*107/100</f>
        <v>107</v>
      </c>
      <c r="K37">
        <f>B37*1/100</f>
        <v>1</v>
      </c>
      <c r="L37">
        <f>B37*0.04/100</f>
        <v>0.04</v>
      </c>
      <c r="M37">
        <f>B37*0.03/100</f>
        <v>0.03</v>
      </c>
      <c r="N37">
        <f>B37*0.035/100</f>
        <v>3.5000000000000003E-2</v>
      </c>
      <c r="O37">
        <f>B37*0/100</f>
        <v>0</v>
      </c>
      <c r="P37">
        <f>B37*4.6/100</f>
        <v>4.5999999999999996</v>
      </c>
      <c r="Q37">
        <f>B37*0.017/100</f>
        <v>1.7000000000000001E-2</v>
      </c>
      <c r="R37">
        <f>B37*0.026/100</f>
        <v>2.6000000000000002E-2</v>
      </c>
      <c r="S37">
        <f>B37*0.091/100</f>
        <v>9.0999999999999998E-2</v>
      </c>
      <c r="T37">
        <f>B37*3.4/100</f>
        <v>3.4</v>
      </c>
      <c r="U37">
        <f>B37*0.061/100</f>
        <v>6.0999999999999999E-2</v>
      </c>
      <c r="V37">
        <v>4.1000000000000002E-2</v>
      </c>
      <c r="W37">
        <f>B37*3/100</f>
        <v>3</v>
      </c>
      <c r="X37">
        <f>B37*3/100</f>
        <v>3</v>
      </c>
      <c r="Y37">
        <f>B37*0.18/100</f>
        <v>0.18</v>
      </c>
      <c r="Z37">
        <f>B37*2.2/100</f>
        <v>2.2000000000000002</v>
      </c>
    </row>
    <row r="38" spans="1:26">
      <c r="B38" s="10"/>
    </row>
    <row r="39" spans="1:26">
      <c r="B39" s="10"/>
    </row>
    <row r="40" spans="1:26">
      <c r="B40" s="10"/>
    </row>
    <row r="41" spans="1:26">
      <c r="A41" s="8" t="s">
        <v>66</v>
      </c>
      <c r="B41" s="10">
        <v>100</v>
      </c>
      <c r="C41">
        <f>B41*0.54/100</f>
        <v>0.54</v>
      </c>
      <c r="D41">
        <f>B41*0.5/100</f>
        <v>0.5</v>
      </c>
      <c r="E41">
        <f>B41*0.28/100</f>
        <v>0.28000000000000003</v>
      </c>
      <c r="F41" s="2">
        <f>B41*54/100</f>
        <v>54</v>
      </c>
      <c r="G41" s="2">
        <f>B41*1.86/100</f>
        <v>1.86</v>
      </c>
      <c r="H41" s="2">
        <f>B41*67/100</f>
        <v>67</v>
      </c>
      <c r="I41">
        <f>B41*5/100</f>
        <v>5</v>
      </c>
      <c r="J41">
        <f>B41*226/100</f>
        <v>226</v>
      </c>
      <c r="K41">
        <f>B41*9/100</f>
        <v>9</v>
      </c>
      <c r="L41">
        <f>B41*0.58/100</f>
        <v>0.57999999999999996</v>
      </c>
      <c r="M41">
        <f>B41*0.061/100</f>
        <v>6.0999999999999999E-2</v>
      </c>
      <c r="N41" s="2">
        <f>B41*0.373/100</f>
        <v>0.373</v>
      </c>
      <c r="O41">
        <f>B41*0.7/100</f>
        <v>0.7</v>
      </c>
      <c r="P41">
        <f>B41*0/100</f>
        <v>0</v>
      </c>
      <c r="Q41">
        <f>B41*0.005/100</f>
        <v>5.0000000000000001E-3</v>
      </c>
      <c r="R41">
        <f>B41*0.022/100</f>
        <v>2.1999999999999999E-2</v>
      </c>
      <c r="S41">
        <f>B41*0.055/100</f>
        <v>5.5E-2</v>
      </c>
      <c r="T41">
        <f>B41*6/100</f>
        <v>6</v>
      </c>
      <c r="U41">
        <f>B41*0.302/100</f>
        <v>0.30199999999999999</v>
      </c>
      <c r="V41">
        <f>B41*0.032/100</f>
        <v>3.2000000000000001E-2</v>
      </c>
      <c r="W41" s="2">
        <f>B41*85/100</f>
        <v>85</v>
      </c>
      <c r="X41">
        <f>B41*0/100</f>
        <v>0</v>
      </c>
    </row>
    <row r="42" spans="1:26">
      <c r="A42" s="8" t="s">
        <v>67</v>
      </c>
      <c r="B42" s="10">
        <v>100</v>
      </c>
      <c r="C42" s="4">
        <f>B42*57.47/100</f>
        <v>57.47</v>
      </c>
      <c r="D42">
        <f>B42*3.6/100</f>
        <v>3.6</v>
      </c>
      <c r="E42">
        <f>B42*3.1/100</f>
        <v>3.1</v>
      </c>
      <c r="F42" s="3">
        <f>B42*120/100</f>
        <v>120</v>
      </c>
      <c r="G42" s="3">
        <f>B42*28.5/100</f>
        <v>28.5</v>
      </c>
      <c r="H42" s="3">
        <f>B42*195/100</f>
        <v>195</v>
      </c>
      <c r="I42" s="2">
        <f>B42*118/100</f>
        <v>118</v>
      </c>
      <c r="J42" s="3">
        <f>B42*1363/100</f>
        <v>1363</v>
      </c>
      <c r="K42" s="3">
        <f>B42*1048/100</f>
        <v>1048</v>
      </c>
      <c r="L42" s="2">
        <f>B42*2/100</f>
        <v>2</v>
      </c>
      <c r="M42">
        <f>B42*6.1/100</f>
        <v>6.1</v>
      </c>
      <c r="N42" s="3">
        <f>B42*1.9/100</f>
        <v>1.9</v>
      </c>
      <c r="O42">
        <f>B42*7.2/100</f>
        <v>7.2</v>
      </c>
      <c r="P42">
        <f>B42*10.1/100</f>
        <v>10.1</v>
      </c>
      <c r="Q42" s="3">
        <f>B42*2.38/100</f>
        <v>2.38</v>
      </c>
      <c r="R42" s="3">
        <f>B42*3.67/100</f>
        <v>3.67</v>
      </c>
      <c r="S42" s="3">
        <f>B42*12.82/100</f>
        <v>12.82</v>
      </c>
      <c r="T42" s="2">
        <f>B42*66/100</f>
        <v>66</v>
      </c>
      <c r="U42" s="3">
        <f>B42*3.48/100</f>
        <v>3.48</v>
      </c>
      <c r="V42" s="2">
        <f>B42*0.364/100</f>
        <v>0.36399999999999999</v>
      </c>
      <c r="W42" s="2">
        <f>B42*94/100</f>
        <v>94</v>
      </c>
      <c r="X42">
        <f>B42*29/100</f>
        <v>29</v>
      </c>
    </row>
    <row r="43" spans="1:26">
      <c r="A43" s="8" t="s">
        <v>68</v>
      </c>
      <c r="B43" s="10">
        <v>100</v>
      </c>
      <c r="C43" s="3">
        <f>B43*6.36/100</f>
        <v>6.36</v>
      </c>
      <c r="D43">
        <f>B43*2.1/100</f>
        <v>2.1</v>
      </c>
      <c r="E43">
        <f>B43*1/100</f>
        <v>1</v>
      </c>
      <c r="F43" s="2">
        <f>B43*181/100</f>
        <v>181</v>
      </c>
      <c r="G43" s="2">
        <f>B43*1.7/100</f>
        <v>1.7</v>
      </c>
      <c r="H43">
        <f>B43*25/100</f>
        <v>25</v>
      </c>
      <c r="I43" s="2">
        <f>B43*153/100</f>
        <v>153</v>
      </c>
      <c r="J43">
        <f>B43*401/100</f>
        <v>401</v>
      </c>
      <c r="K43">
        <f>B43*17/100</f>
        <v>17</v>
      </c>
      <c r="L43">
        <f>B43*1.16/100</f>
        <v>1.1599999999999999</v>
      </c>
      <c r="M43">
        <f>B43*0.299/100</f>
        <v>0.29899999999999999</v>
      </c>
      <c r="N43" s="3">
        <f>B43*1.672/100</f>
        <v>1.6719999999999999</v>
      </c>
      <c r="O43" s="2">
        <f>B43*14.2/100</f>
        <v>14.2</v>
      </c>
      <c r="P43" s="2">
        <f>B43*31.2/100</f>
        <v>31.2</v>
      </c>
      <c r="Q43" s="2">
        <f>B43*0.2/100</f>
        <v>0.2</v>
      </c>
      <c r="R43" s="2">
        <f>B43*0.11/100</f>
        <v>0.11</v>
      </c>
      <c r="S43">
        <f>B43*0.7/100</f>
        <v>0.7</v>
      </c>
      <c r="T43">
        <f>B43*23.2/100</f>
        <v>23.2</v>
      </c>
      <c r="U43" s="2">
        <f>B43*0.596/100</f>
        <v>0.59599999999999997</v>
      </c>
      <c r="V43" s="3">
        <f>B43*1.235/100</f>
        <v>1.2350000000000001</v>
      </c>
      <c r="W43">
        <f>B43*3/100</f>
        <v>3</v>
      </c>
      <c r="X43">
        <f>B43*0/100</f>
        <v>0</v>
      </c>
    </row>
    <row r="44" spans="1:26">
      <c r="A44" s="8" t="s">
        <v>69</v>
      </c>
      <c r="B44" s="10">
        <v>100</v>
      </c>
      <c r="C44" s="3">
        <f>B44*5.81/100</f>
        <v>5.81</v>
      </c>
      <c r="D44">
        <f>B44*0.3/100</f>
        <v>0.3</v>
      </c>
      <c r="E44">
        <f>B44*0.49/100</f>
        <v>0.49</v>
      </c>
      <c r="F44" s="2">
        <f>B44*70/100</f>
        <v>70</v>
      </c>
      <c r="G44" s="2">
        <f>B44*1.8/100</f>
        <v>1.8</v>
      </c>
      <c r="H44">
        <f>B44*2/100</f>
        <v>2</v>
      </c>
      <c r="I44">
        <f>B44*58/100</f>
        <v>58</v>
      </c>
      <c r="J44">
        <f>B44*356/100</f>
        <v>356</v>
      </c>
      <c r="K44">
        <f>B44*48/100</f>
        <v>48</v>
      </c>
      <c r="L44" s="2">
        <f>B44*1.05/100</f>
        <v>1.05</v>
      </c>
      <c r="M44">
        <f>B44*0.264/100</f>
        <v>0.26400000000000001</v>
      </c>
      <c r="N44" s="3">
        <f>B44*0.988/100</f>
        <v>0.98799999999999999</v>
      </c>
      <c r="O44">
        <f>B44*0.7/100</f>
        <v>0.7</v>
      </c>
      <c r="P44">
        <f>B44*39/100</f>
        <v>39</v>
      </c>
      <c r="Q44" s="2">
        <f>B44*0.098/100</f>
        <v>9.8000000000000004E-2</v>
      </c>
      <c r="R44" s="2">
        <f>B44*0.446/100</f>
        <v>0.44600000000000001</v>
      </c>
      <c r="S44" s="2">
        <f>B44*1.47/100</f>
        <v>1.47</v>
      </c>
      <c r="T44">
        <f>B44*10.4/100</f>
        <v>10.4</v>
      </c>
      <c r="U44" s="2">
        <f>B44*0.521/100</f>
        <v>0.52100000000000002</v>
      </c>
      <c r="V44" s="2">
        <f>B44*0.159/100</f>
        <v>0.159</v>
      </c>
      <c r="W44" s="2">
        <f>B44*146/100</f>
        <v>146</v>
      </c>
      <c r="X44" s="2">
        <f>B44*260/100</f>
        <v>260</v>
      </c>
    </row>
    <row r="45" spans="1:26">
      <c r="A45" s="8" t="s">
        <v>70</v>
      </c>
      <c r="B45" s="10">
        <v>100</v>
      </c>
      <c r="C45" s="2">
        <f>B45*3.38/100</f>
        <v>3.38</v>
      </c>
      <c r="D45">
        <f>B45*3.8/100</f>
        <v>3.8</v>
      </c>
      <c r="E45">
        <f>B45*2.2/100</f>
        <v>2.2000000000000002</v>
      </c>
      <c r="F45" s="2">
        <f>B45*42/100</f>
        <v>42</v>
      </c>
      <c r="G45" s="2">
        <f>B45*1.4/100</f>
        <v>1.4</v>
      </c>
      <c r="H45">
        <f>B45*23/100</f>
        <v>23</v>
      </c>
      <c r="I45" s="2">
        <f>B45*69/100</f>
        <v>69</v>
      </c>
      <c r="J45">
        <f>B45*389/100</f>
        <v>389</v>
      </c>
      <c r="K45">
        <f>B45*25/100</f>
        <v>25</v>
      </c>
      <c r="L45">
        <f>B45*0.42/100</f>
        <v>0.42</v>
      </c>
      <c r="M45">
        <f>B45*0.07/100</f>
        <v>7.0000000000000007E-2</v>
      </c>
      <c r="N45" s="2">
        <f>B45*0.337/100</f>
        <v>0.33700000000000002</v>
      </c>
      <c r="O45">
        <f>B45*1.6/100</f>
        <v>1.6</v>
      </c>
      <c r="P45" s="3">
        <f>B45*85/100</f>
        <v>85</v>
      </c>
      <c r="Q45" s="2">
        <f>B45*0.139/100</f>
        <v>0.13900000000000001</v>
      </c>
      <c r="R45" s="2">
        <f>B45*0.09/100</f>
        <v>0.09</v>
      </c>
      <c r="S45">
        <f>B45*0.745/100</f>
        <v>0.745</v>
      </c>
      <c r="T45">
        <f>B45*19.1/100</f>
        <v>19.100000000000001</v>
      </c>
      <c r="U45">
        <f>B45*0.309/100</f>
        <v>0.309</v>
      </c>
      <c r="V45" s="2">
        <f>B45*0.219/100</f>
        <v>0.21899999999999997</v>
      </c>
      <c r="W45" s="2">
        <f>B45*61/100</f>
        <v>61</v>
      </c>
      <c r="X45">
        <f>B45*38/100</f>
        <v>38</v>
      </c>
      <c r="Z45" s="2"/>
    </row>
    <row r="46" spans="1:26">
      <c r="A46" s="8" t="s">
        <v>71</v>
      </c>
      <c r="B46" s="10">
        <v>100</v>
      </c>
      <c r="C46" s="2">
        <f>B46*3.27/100</f>
        <v>3.27</v>
      </c>
      <c r="D46" s="2">
        <f>B46*5.4/100</f>
        <v>5.4</v>
      </c>
      <c r="E46">
        <f>B46*0.99/100</f>
        <v>0.99</v>
      </c>
      <c r="F46" s="2">
        <f>B46*44/100</f>
        <v>44</v>
      </c>
      <c r="G46" s="2">
        <f>B46*1.28/100</f>
        <v>1.28</v>
      </c>
      <c r="H46" s="2">
        <f>B46*60/100</f>
        <v>60</v>
      </c>
      <c r="I46" s="2">
        <f>B46*90/100</f>
        <v>90</v>
      </c>
      <c r="J46">
        <f>B46*370/100</f>
        <v>370</v>
      </c>
      <c r="K46" s="2">
        <f>B46*94/100</f>
        <v>94</v>
      </c>
      <c r="L46">
        <f>B46*0.49/100</f>
        <v>0.49</v>
      </c>
      <c r="M46">
        <f>B46*0.231/100</f>
        <v>0.23100000000000001</v>
      </c>
      <c r="N46">
        <f>B46*0.256/100</f>
        <v>0.25600000000000001</v>
      </c>
      <c r="O46">
        <f>B46*0.2/100</f>
        <v>0.2</v>
      </c>
      <c r="P46">
        <f>B46*11.7/100</f>
        <v>11.7</v>
      </c>
      <c r="Q46">
        <f>B46*0.072/100</f>
        <v>7.1999999999999995E-2</v>
      </c>
      <c r="R46">
        <f>B46*0.066/100</f>
        <v>6.6000000000000003E-2</v>
      </c>
      <c r="S46" s="2">
        <f>B46*1.046/100</f>
        <v>1.046</v>
      </c>
      <c r="T46" s="2">
        <f>B46*34.4/100</f>
        <v>34.4</v>
      </c>
      <c r="U46">
        <f>B46*0.338/100</f>
        <v>0.33800000000000002</v>
      </c>
      <c r="V46" s="2">
        <f>B46*0.116/100</f>
        <v>0.11600000000000002</v>
      </c>
      <c r="W46" s="2">
        <f>B46*68/100</f>
        <v>68</v>
      </c>
      <c r="X46">
        <f>B46*1/100</f>
        <v>1</v>
      </c>
      <c r="Z46" s="2"/>
    </row>
    <row r="47" spans="1:26">
      <c r="A47" s="8" t="s">
        <v>72</v>
      </c>
      <c r="B47" s="10">
        <v>100</v>
      </c>
      <c r="C47">
        <f>B47*3.03/100</f>
        <v>3.03</v>
      </c>
      <c r="D47">
        <f>B47*0.5/100</f>
        <v>0.5</v>
      </c>
      <c r="E47">
        <f>B47*0.65/100</f>
        <v>0.65</v>
      </c>
      <c r="F47" s="3">
        <f>B47*150/100</f>
        <v>150</v>
      </c>
      <c r="G47" s="2">
        <f>B47*2.18/100</f>
        <v>2.1800000000000002</v>
      </c>
      <c r="H47" s="3">
        <f>B47*107/100</f>
        <v>107</v>
      </c>
      <c r="I47">
        <f>B47*80/100</f>
        <v>80</v>
      </c>
      <c r="J47">
        <f>B47*50/100</f>
        <v>50</v>
      </c>
      <c r="K47" s="3">
        <f>B47*872/100</f>
        <v>872</v>
      </c>
      <c r="L47">
        <f>B47*0.38/100</f>
        <v>0.38</v>
      </c>
      <c r="M47">
        <f>B47*0.284/100</f>
        <v>0.28399999999999997</v>
      </c>
      <c r="N47" s="3">
        <f>B47*1.4/100</f>
        <v>1.4</v>
      </c>
      <c r="O47">
        <f>B47*0.7/100</f>
        <v>0.7</v>
      </c>
      <c r="P47">
        <f>B47*3/100</f>
        <v>3</v>
      </c>
      <c r="Q47">
        <f>B47*0.06/100</f>
        <v>0.06</v>
      </c>
      <c r="R47" s="2">
        <f>B47*0.23/100</f>
        <v>0.23</v>
      </c>
      <c r="S47" s="2">
        <f>B47*1.6/100</f>
        <v>1.6</v>
      </c>
      <c r="T47">
        <f>B47*13.9/100</f>
        <v>13.9</v>
      </c>
      <c r="U47" s="2">
        <f>B47*0.697/100</f>
        <v>0.69699999999999984</v>
      </c>
      <c r="V47">
        <f>B47*0.002/100</f>
        <v>2E-3</v>
      </c>
      <c r="W47" s="2">
        <f>B47*196/100</f>
        <v>196</v>
      </c>
      <c r="X47">
        <f>B47*18/100</f>
        <v>18</v>
      </c>
      <c r="Z47" s="2"/>
    </row>
    <row r="48" spans="1:26">
      <c r="A48" s="8" t="s">
        <v>73</v>
      </c>
      <c r="B48" s="10">
        <v>100</v>
      </c>
      <c r="C48">
        <f>B48*2.86/100</f>
        <v>2.86</v>
      </c>
      <c r="D48">
        <f>B48*2.2/100</f>
        <v>2.2000000000000002</v>
      </c>
      <c r="E48">
        <f>B48*0.42/100</f>
        <v>0.42</v>
      </c>
      <c r="F48" s="2">
        <f>B48*99/100</f>
        <v>99</v>
      </c>
      <c r="G48" s="2">
        <f>B48*2.71/100</f>
        <v>2.71</v>
      </c>
      <c r="H48" s="2">
        <f>B48*79/100</f>
        <v>79</v>
      </c>
      <c r="I48">
        <f>B48*49/100</f>
        <v>49</v>
      </c>
      <c r="J48" s="2">
        <f>B48*558/100</f>
        <v>558</v>
      </c>
      <c r="K48" s="2">
        <f>B48*79/100</f>
        <v>79</v>
      </c>
      <c r="L48">
        <f>B48*0.53/100</f>
        <v>0.53</v>
      </c>
      <c r="M48">
        <f>B48*0.13/100</f>
        <v>0.13</v>
      </c>
      <c r="N48" s="3">
        <f>B48*0.897/100</f>
        <v>0.89700000000000002</v>
      </c>
      <c r="O48">
        <f>B48*1/100</f>
        <v>1</v>
      </c>
      <c r="P48" s="2">
        <f>B48*28.1/100</f>
        <v>28.1</v>
      </c>
      <c r="Q48">
        <f>B48*0.078/100</f>
        <v>7.8E-2</v>
      </c>
      <c r="R48" s="2">
        <f>B48*0.189/100</f>
        <v>0.18899999999999997</v>
      </c>
      <c r="S48">
        <f>B48*0.724/100</f>
        <v>0.72399999999999987</v>
      </c>
      <c r="T48">
        <f>B48*19.3/100</f>
        <v>19.3</v>
      </c>
      <c r="U48">
        <f>B48*0.065/100</f>
        <v>6.5000000000000002E-2</v>
      </c>
      <c r="V48" s="2">
        <f>B48*0.195/100</f>
        <v>0.19500000000000001</v>
      </c>
      <c r="W48" s="2">
        <f>B48*194/100</f>
        <v>194</v>
      </c>
      <c r="X48" s="2">
        <f>B48*469/100</f>
        <v>469</v>
      </c>
    </row>
    <row r="49" spans="1:26">
      <c r="A49" s="9" t="s">
        <v>74</v>
      </c>
      <c r="B49" s="10">
        <v>100</v>
      </c>
      <c r="C49">
        <f>B49*2.82/100</f>
        <v>2.82</v>
      </c>
      <c r="D49">
        <f>B49*2.6/100</f>
        <v>2.6</v>
      </c>
      <c r="E49">
        <f>B49*1.7/100</f>
        <v>1.7</v>
      </c>
      <c r="F49" s="2">
        <f>B49*47/100</f>
        <v>47</v>
      </c>
      <c r="G49">
        <f>B49*0.73/100</f>
        <v>0.73</v>
      </c>
      <c r="H49">
        <f>B49*21/100</f>
        <v>21</v>
      </c>
      <c r="I49" s="2">
        <f>B49*66/100</f>
        <v>66</v>
      </c>
      <c r="J49">
        <f>B49*316/100</f>
        <v>316</v>
      </c>
      <c r="K49">
        <f>B49*33/100</f>
        <v>33</v>
      </c>
      <c r="L49">
        <f>B49*0.41/100</f>
        <v>0.41</v>
      </c>
      <c r="M49">
        <f>B49*0.049/100</f>
        <v>4.9000000000000002E-2</v>
      </c>
      <c r="N49">
        <f>B49*0.21/100</f>
        <v>0.21</v>
      </c>
      <c r="O49">
        <f>B49*2.5/100</f>
        <v>2.5</v>
      </c>
      <c r="P49" s="4">
        <f>B49*89.2/100</f>
        <v>89.2</v>
      </c>
      <c r="Q49">
        <f>B49*0.071/100</f>
        <v>7.0999999999999994E-2</v>
      </c>
      <c r="R49" s="2">
        <f>B49*0.117/100</f>
        <v>0.11700000000000001</v>
      </c>
      <c r="S49">
        <f>B49*0.639/100</f>
        <v>0.63900000000000001</v>
      </c>
      <c r="T49">
        <f>B49*18.7/100</f>
        <v>18.7</v>
      </c>
      <c r="U49" s="2">
        <f>B49*0.573/100</f>
        <v>0.57299999999999995</v>
      </c>
      <c r="V49" s="2">
        <f>B49*0.175/100</f>
        <v>0.17499999999999999</v>
      </c>
      <c r="W49" s="2">
        <f>B49*63/100</f>
        <v>63</v>
      </c>
      <c r="X49">
        <f>B49*31/100</f>
        <v>31</v>
      </c>
      <c r="Z49" s="3"/>
    </row>
    <row r="50" spans="1:26">
      <c r="A50" s="8" t="s">
        <v>75</v>
      </c>
      <c r="B50" s="10">
        <v>100</v>
      </c>
      <c r="C50">
        <f>B50*2.5/100</f>
        <v>2.5</v>
      </c>
      <c r="D50">
        <f>B50*3.2/100</f>
        <v>3.2</v>
      </c>
      <c r="E50">
        <f>B50*7.87/100</f>
        <v>7.87</v>
      </c>
      <c r="F50">
        <f>B50*37/100</f>
        <v>37</v>
      </c>
      <c r="G50" s="2">
        <f>B50*1.2/100</f>
        <v>1.2</v>
      </c>
      <c r="H50">
        <f>B50*21/100</f>
        <v>21</v>
      </c>
      <c r="I50">
        <f>B50*60/100</f>
        <v>60</v>
      </c>
      <c r="J50">
        <f>B50*334/100</f>
        <v>334</v>
      </c>
      <c r="K50">
        <f>B50*12/100</f>
        <v>12</v>
      </c>
      <c r="L50">
        <f>B50*0.4/100</f>
        <v>0.4</v>
      </c>
      <c r="M50">
        <f>B50*0.088/100</f>
        <v>8.7999999999999995E-2</v>
      </c>
      <c r="N50" s="2">
        <f>B50*0.292/100</f>
        <v>0.29199999999999998</v>
      </c>
      <c r="O50">
        <f>B50*1.2/100</f>
        <v>1.2</v>
      </c>
      <c r="P50">
        <f>B50*8/100</f>
        <v>8</v>
      </c>
      <c r="Q50">
        <f>B50*0.06/100</f>
        <v>0.06</v>
      </c>
      <c r="R50">
        <f>B50*0.02/100</f>
        <v>0.02</v>
      </c>
      <c r="S50">
        <f>B50*0.2/100</f>
        <v>0.2</v>
      </c>
      <c r="T50">
        <f>B50*11.3/100</f>
        <v>11.3</v>
      </c>
      <c r="U50">
        <f>B50*0.29/100</f>
        <v>0.28999999999999998</v>
      </c>
      <c r="V50" s="2">
        <f>B50*0.345/100</f>
        <v>0.34499999999999997</v>
      </c>
      <c r="W50">
        <f>B50*34/100</f>
        <v>34</v>
      </c>
      <c r="X50">
        <f>B50*0/100</f>
        <v>0</v>
      </c>
    </row>
    <row r="51" spans="1:26">
      <c r="A51" s="8" t="s">
        <v>76</v>
      </c>
      <c r="B51" s="10">
        <v>100</v>
      </c>
      <c r="C51">
        <f>B51*2.2/100</f>
        <v>2.2000000000000002</v>
      </c>
      <c r="D51">
        <f>B51*2.1/100</f>
        <v>2.1</v>
      </c>
      <c r="E51">
        <f>B51*1.88/100</f>
        <v>1.88</v>
      </c>
      <c r="F51">
        <f>B51*24/100</f>
        <v>24</v>
      </c>
      <c r="G51" s="2">
        <f>B51*2.14/100</f>
        <v>2.14</v>
      </c>
      <c r="H51">
        <f>B51*14/100</f>
        <v>14</v>
      </c>
      <c r="I51">
        <f>B51*52/100</f>
        <v>52</v>
      </c>
      <c r="J51">
        <f>B51*202/100</f>
        <v>202</v>
      </c>
      <c r="K51">
        <f>B51*2/100</f>
        <v>2</v>
      </c>
      <c r="L51">
        <f>B51*0.54/100</f>
        <v>0.54</v>
      </c>
      <c r="M51">
        <f>B51*0.189/100</f>
        <v>0.18899999999999997</v>
      </c>
      <c r="N51">
        <f>B51*0.158/100</f>
        <v>0.158</v>
      </c>
      <c r="O51">
        <f>B51*2.3/100</f>
        <v>2.2999999999999998</v>
      </c>
      <c r="P51">
        <f>B51*5.6/100</f>
        <v>5.6</v>
      </c>
      <c r="Q51" s="2">
        <f>B51*0.143/100</f>
        <v>0.14299999999999999</v>
      </c>
      <c r="R51" s="2">
        <f>B51*0.141/100</f>
        <v>0.14099999999999999</v>
      </c>
      <c r="S51" s="2">
        <f>B51*0.978/100</f>
        <v>0.97799999999999998</v>
      </c>
      <c r="T51">
        <f>B51*16/100</f>
        <v>16</v>
      </c>
      <c r="U51">
        <f>B51*0.274/100</f>
        <v>0.27400000000000002</v>
      </c>
      <c r="V51">
        <f>B51*0.091/100</f>
        <v>9.0999999999999998E-2</v>
      </c>
      <c r="W51" s="2">
        <f>B51*52/100</f>
        <v>52</v>
      </c>
      <c r="X51">
        <f>B51*38/100</f>
        <v>38</v>
      </c>
      <c r="Z51" s="3"/>
    </row>
    <row r="52" spans="1:26">
      <c r="A52" s="9" t="s">
        <v>77</v>
      </c>
      <c r="B52" s="10">
        <v>100</v>
      </c>
      <c r="C52">
        <f>B52*2/100</f>
        <v>2</v>
      </c>
      <c r="D52">
        <f>B52*3.1/100</f>
        <v>3.1</v>
      </c>
      <c r="E52">
        <f>B52*2.27/100</f>
        <v>2.27</v>
      </c>
      <c r="F52">
        <f>B52*35/100</f>
        <v>35</v>
      </c>
      <c r="G52">
        <f>B52*0.4/100</f>
        <v>0.4</v>
      </c>
      <c r="H52">
        <f>B52*28/100</f>
        <v>28</v>
      </c>
      <c r="I52">
        <f>B52*42/100</f>
        <v>42</v>
      </c>
      <c r="J52">
        <f>B52*230/100</f>
        <v>230</v>
      </c>
      <c r="K52">
        <f>B52*28/100</f>
        <v>28</v>
      </c>
      <c r="L52">
        <f>B52*0.27/100</f>
        <v>0.27</v>
      </c>
      <c r="M52">
        <f>B52*0.062/100</f>
        <v>6.2E-2</v>
      </c>
      <c r="N52">
        <f>B52*0.18/100</f>
        <v>0.18</v>
      </c>
      <c r="O52">
        <f>B52*0.9/100</f>
        <v>0.9</v>
      </c>
      <c r="P52" s="2">
        <f>B52*31/100</f>
        <v>31</v>
      </c>
      <c r="Q52">
        <f>B52*0.07/100</f>
        <v>7.0000000000000007E-2</v>
      </c>
      <c r="R52">
        <f>B52*0.03/100</f>
        <v>0.03</v>
      </c>
      <c r="S52">
        <f>B52*0.3/100</f>
        <v>0.3</v>
      </c>
      <c r="T52">
        <f>B52*12.3/100</f>
        <v>12.3</v>
      </c>
      <c r="U52">
        <f>B52*0.187/100</f>
        <v>0.187</v>
      </c>
      <c r="V52" s="2">
        <f>B52*0.19/100</f>
        <v>0.19</v>
      </c>
      <c r="W52" s="2">
        <f>B52*80/100</f>
        <v>80</v>
      </c>
      <c r="X52">
        <f>B52*50/100</f>
        <v>50</v>
      </c>
    </row>
    <row r="53" spans="1:26">
      <c r="A53" s="8" t="s">
        <v>78</v>
      </c>
      <c r="B53" s="10">
        <v>100</v>
      </c>
      <c r="C53">
        <f>B53*2/100</f>
        <v>2</v>
      </c>
      <c r="D53">
        <f>B53*1.6/100</f>
        <v>1.6</v>
      </c>
      <c r="E53">
        <f>B53*9.6/100</f>
        <v>9.6</v>
      </c>
      <c r="F53">
        <f>B53*14/100</f>
        <v>14</v>
      </c>
      <c r="G53" s="2">
        <f>B53*3.4/100</f>
        <v>3.4</v>
      </c>
      <c r="H53">
        <f>B53*17/100</f>
        <v>17</v>
      </c>
      <c r="I53" s="2">
        <f>B53*78/100</f>
        <v>78</v>
      </c>
      <c r="J53">
        <f>B53*429/100</f>
        <v>429</v>
      </c>
      <c r="K53">
        <f>B53*4/100</f>
        <v>4</v>
      </c>
      <c r="L53">
        <f>B53*0.12/100</f>
        <v>0.12</v>
      </c>
      <c r="M53">
        <f>B53*0.14/100</f>
        <v>0.14000000000000001</v>
      </c>
      <c r="N53">
        <f>B53*0.06/100</f>
        <v>0.06</v>
      </c>
      <c r="O53">
        <f>B53*0.7/100</f>
        <v>0.7</v>
      </c>
      <c r="P53">
        <f>B53*4/100</f>
        <v>4</v>
      </c>
      <c r="Q53" s="2">
        <f>B53*0.2/100</f>
        <v>0.2</v>
      </c>
      <c r="R53">
        <f>B53*0.06/100</f>
        <v>0.06</v>
      </c>
      <c r="S53" s="2">
        <f>B53*1.3/100</f>
        <v>1.3</v>
      </c>
      <c r="T53">
        <f>B53*30/100</f>
        <v>30</v>
      </c>
      <c r="U53">
        <f>B53*0.397/100</f>
        <v>0.39700000000000002</v>
      </c>
      <c r="V53">
        <f>B53*0.077/100</f>
        <v>7.6999999999999999E-2</v>
      </c>
      <c r="W53">
        <f>B53*13/100</f>
        <v>13</v>
      </c>
      <c r="X53">
        <f>B53*1/100</f>
        <v>1</v>
      </c>
    </row>
    <row r="54" spans="1:26">
      <c r="A54" s="8" t="s">
        <v>79</v>
      </c>
      <c r="B54" s="10">
        <v>100</v>
      </c>
      <c r="C54">
        <f>B54*2/100</f>
        <v>2</v>
      </c>
      <c r="D54">
        <f>B54*2.9/100</f>
        <v>2.9</v>
      </c>
      <c r="E54">
        <f>B54*0/100</f>
        <v>0</v>
      </c>
      <c r="F54" s="2">
        <f>B54*44/100</f>
        <v>44</v>
      </c>
      <c r="G54" s="2">
        <f>B54*2.4/100</f>
        <v>2.4</v>
      </c>
      <c r="H54" s="2">
        <f>B54*103/100</f>
        <v>103</v>
      </c>
      <c r="I54">
        <f>B54*63/100</f>
        <v>63</v>
      </c>
      <c r="J54">
        <f>B54*390/100</f>
        <v>390</v>
      </c>
      <c r="K54">
        <f>B54*4/100</f>
        <v>4</v>
      </c>
      <c r="L54">
        <f>B54*0.2/100</f>
        <v>0.2</v>
      </c>
      <c r="M54">
        <f>B54*0.131/100</f>
        <v>0.13100000000000001</v>
      </c>
      <c r="N54" s="2">
        <f>B54*0.349/100</f>
        <v>0.34899999999999998</v>
      </c>
      <c r="O54">
        <f>B54*0.9/100</f>
        <v>0.9</v>
      </c>
      <c r="P54" s="2">
        <f>B54*48/100</f>
        <v>48</v>
      </c>
      <c r="Q54">
        <f>B54*0.04/100</f>
        <v>0.04</v>
      </c>
      <c r="R54" s="2">
        <f>B54*0.1/100</f>
        <v>0.1</v>
      </c>
      <c r="S54">
        <f>B54*0.5/100</f>
        <v>0.5</v>
      </c>
      <c r="T54">
        <f>B54*0/100</f>
        <v>0</v>
      </c>
      <c r="U54">
        <f>B54*0.041/100</f>
        <v>4.1000000000000009E-2</v>
      </c>
      <c r="V54" s="2">
        <f>B54*0.122/100</f>
        <v>0.122</v>
      </c>
      <c r="W54">
        <f>B54*13/100</f>
        <v>13</v>
      </c>
      <c r="X54" s="2">
        <f>B54*200/100</f>
        <v>200</v>
      </c>
    </row>
    <row r="55" spans="1:26">
      <c r="A55" s="9" t="s">
        <v>80</v>
      </c>
      <c r="B55" s="10">
        <v>100</v>
      </c>
      <c r="C55">
        <f>B55*1.92/100</f>
        <v>1.92</v>
      </c>
      <c r="D55">
        <f>B55*2/100</f>
        <v>2</v>
      </c>
      <c r="E55">
        <f>B55*1.91/100</f>
        <v>1.91</v>
      </c>
      <c r="F55">
        <f>B55*22/100</f>
        <v>22</v>
      </c>
      <c r="G55">
        <f>B55*0.42/100</f>
        <v>0.42</v>
      </c>
      <c r="H55">
        <f>B55*15/100</f>
        <v>15</v>
      </c>
      <c r="I55">
        <f>B55*44/100</f>
        <v>44</v>
      </c>
      <c r="J55">
        <f>B55*299/100</f>
        <v>299</v>
      </c>
      <c r="K55">
        <f>B55*30/100</f>
        <v>30</v>
      </c>
      <c r="L55">
        <f>B55*0.27/100</f>
        <v>0.27</v>
      </c>
      <c r="M55">
        <f>B55*0.039/100</f>
        <v>3.9E-2</v>
      </c>
      <c r="N55">
        <f>B55*0.155/100</f>
        <v>0.155</v>
      </c>
      <c r="O55">
        <f>B55*0.6/100</f>
        <v>0.6</v>
      </c>
      <c r="P55" s="2">
        <f>B55*48.2/100</f>
        <v>48.2</v>
      </c>
      <c r="Q55">
        <f>B55*0.05/100</f>
        <v>0.05</v>
      </c>
      <c r="R55">
        <f>B55*0.06/100</f>
        <v>0.06</v>
      </c>
      <c r="S55">
        <f>B55*0.507/100</f>
        <v>0.50700000000000001</v>
      </c>
      <c r="T55" s="2">
        <f>B55*44.3/100</f>
        <v>44.3</v>
      </c>
      <c r="U55" s="2">
        <f>B55*0.667/100</f>
        <v>0.66700000000000004</v>
      </c>
      <c r="V55" s="2">
        <f>B55*0.184/100</f>
        <v>0.184</v>
      </c>
      <c r="W55" s="2">
        <f>B55*57/100</f>
        <v>57</v>
      </c>
      <c r="X55">
        <f>B55*0/100</f>
        <v>0</v>
      </c>
    </row>
    <row r="56" spans="1:26">
      <c r="A56" s="8" t="s">
        <v>81</v>
      </c>
      <c r="B56" s="10">
        <v>100</v>
      </c>
      <c r="C56">
        <f>B56*1.9/100</f>
        <v>1.9</v>
      </c>
      <c r="D56">
        <f>B56*2.4/100</f>
        <v>2.4</v>
      </c>
      <c r="E56">
        <f>B56*2.18/100</f>
        <v>2.1800000000000002</v>
      </c>
      <c r="F56">
        <f>B56*18/100</f>
        <v>18</v>
      </c>
      <c r="G56" s="2">
        <f>B56*1.22/100</f>
        <v>1.22</v>
      </c>
      <c r="H56">
        <f>B56*23/100</f>
        <v>23</v>
      </c>
      <c r="I56">
        <f>B56*49/100</f>
        <v>49</v>
      </c>
      <c r="J56">
        <f>B56*212/100</f>
        <v>212</v>
      </c>
      <c r="K56">
        <f>B56*17/100</f>
        <v>17</v>
      </c>
      <c r="L56">
        <f>B56*0.52/100</f>
        <v>0.52</v>
      </c>
      <c r="M56">
        <f>B56*0.07/100</f>
        <v>7.0000000000000007E-2</v>
      </c>
      <c r="N56">
        <f>B56*0.137/100</f>
        <v>0.13700000000000001</v>
      </c>
      <c r="O56">
        <f>B56*0.6/100</f>
        <v>0.6</v>
      </c>
      <c r="P56" s="2">
        <f>B56*27/100</f>
        <v>27</v>
      </c>
      <c r="Q56">
        <f>B56*0.05/100</f>
        <v>0.05</v>
      </c>
      <c r="R56" s="2">
        <f>B56*0.09/100</f>
        <v>0.09</v>
      </c>
      <c r="S56">
        <f>B56*0.4/100</f>
        <v>0.4</v>
      </c>
      <c r="T56">
        <f>B56*5.3/100</f>
        <v>5.3</v>
      </c>
      <c r="U56">
        <f>B56*0.169/100</f>
        <v>0.16900000000000001</v>
      </c>
      <c r="V56">
        <f>B56*0.072/100</f>
        <v>7.1999999999999995E-2</v>
      </c>
      <c r="W56">
        <f>B56*16/100</f>
        <v>16</v>
      </c>
      <c r="X56">
        <f>B56*58/100</f>
        <v>58</v>
      </c>
    </row>
    <row r="57" spans="1:26">
      <c r="A57" s="8" t="s">
        <v>82</v>
      </c>
      <c r="B57" s="10">
        <v>100</v>
      </c>
      <c r="C57">
        <f>B57*1.8/100</f>
        <v>1.8</v>
      </c>
      <c r="D57">
        <f>B57*1.6/100</f>
        <v>1.6</v>
      </c>
      <c r="E57">
        <f>B57*1.1/100</f>
        <v>1.1000000000000001</v>
      </c>
      <c r="F57" s="2">
        <f>B57*51/100</f>
        <v>51</v>
      </c>
      <c r="G57" s="2">
        <f>B57*1.8/100</f>
        <v>1.8</v>
      </c>
      <c r="H57" s="2">
        <f>B57*81/100</f>
        <v>81</v>
      </c>
      <c r="I57">
        <f>B57*46/100</f>
        <v>46</v>
      </c>
      <c r="J57">
        <f>B57*379/100</f>
        <v>379</v>
      </c>
      <c r="K57" s="2">
        <f>B57*213/100</f>
        <v>213</v>
      </c>
      <c r="L57">
        <f>B57*0.36/100</f>
        <v>0.36</v>
      </c>
      <c r="M57">
        <f>B57*0.179/100</f>
        <v>0.17899999999999999</v>
      </c>
      <c r="N57" s="2">
        <f>B57*0.366/100</f>
        <v>0.36599999999999999</v>
      </c>
      <c r="O57">
        <f>B57*0.9/100</f>
        <v>0.9</v>
      </c>
      <c r="P57">
        <f>B57*30/100</f>
        <v>30</v>
      </c>
      <c r="Q57">
        <f>B57*0.04/100</f>
        <v>0.04</v>
      </c>
      <c r="R57">
        <f>B57*0.09/100</f>
        <v>0.09</v>
      </c>
      <c r="S57">
        <f>B57*0.4/100</f>
        <v>0.4</v>
      </c>
      <c r="T57">
        <f>B57*18/100</f>
        <v>18</v>
      </c>
      <c r="U57">
        <f>B57*0.172/100</f>
        <v>0.17199999999999999</v>
      </c>
      <c r="V57">
        <f>B57*0.099/100</f>
        <v>9.9000000000000005E-2</v>
      </c>
      <c r="W57">
        <f>B57*14/100</f>
        <v>14</v>
      </c>
      <c r="X57" s="2">
        <f>B57*306/100</f>
        <v>306</v>
      </c>
    </row>
    <row r="58" spans="1:26">
      <c r="A58" s="9" t="s">
        <v>83</v>
      </c>
      <c r="B58" s="10">
        <v>100</v>
      </c>
      <c r="C58">
        <f>B58*1.7/100</f>
        <v>1.7</v>
      </c>
      <c r="D58">
        <f>B58*3.6/100</f>
        <v>3.6</v>
      </c>
      <c r="E58">
        <f>B58*2.6/100</f>
        <v>2.6</v>
      </c>
      <c r="F58">
        <f>B58*24/100</f>
        <v>24</v>
      </c>
      <c r="G58">
        <f>B58*0.4/100</f>
        <v>0.4</v>
      </c>
      <c r="H58">
        <f>B58*19/100</f>
        <v>19</v>
      </c>
      <c r="I58">
        <f>B58*46/100</f>
        <v>46</v>
      </c>
      <c r="J58">
        <f>B58*350/100</f>
        <v>350</v>
      </c>
      <c r="K58">
        <f>B58*20/100</f>
        <v>20</v>
      </c>
      <c r="L58">
        <f>B58*0.03/100</f>
        <v>0.03</v>
      </c>
      <c r="M58">
        <f>B58*0.129/100</f>
        <v>0.129</v>
      </c>
      <c r="N58">
        <f>B58*0.139/100</f>
        <v>0.13900000000000001</v>
      </c>
      <c r="O58">
        <f>B58*0.7/100</f>
        <v>0.7</v>
      </c>
      <c r="P58" s="2">
        <f>B58*62/100</f>
        <v>62</v>
      </c>
      <c r="Q58">
        <f>B58*0.05/100</f>
        <v>0.05</v>
      </c>
      <c r="R58">
        <f>B58*0.02/100</f>
        <v>0.02</v>
      </c>
      <c r="S58">
        <f>B58*0.4/100</f>
        <v>0.4</v>
      </c>
      <c r="T58">
        <f>B58*12.3/100</f>
        <v>12.3</v>
      </c>
      <c r="U58">
        <f>B58*0.165/100</f>
        <v>0.16500000000000001</v>
      </c>
      <c r="V58" s="2">
        <f>B58*0.15/100</f>
        <v>0.15</v>
      </c>
      <c r="W58">
        <f>B58*16/100</f>
        <v>16</v>
      </c>
      <c r="X58">
        <f>B58*2/100</f>
        <v>2</v>
      </c>
    </row>
    <row r="59" spans="1:26">
      <c r="A59" s="8" t="s">
        <v>84</v>
      </c>
      <c r="B59" s="10">
        <v>100</v>
      </c>
      <c r="C59">
        <f>B59*1.68/100</f>
        <v>1.68</v>
      </c>
      <c r="D59">
        <f>B59*1.3/100</f>
        <v>1.3</v>
      </c>
      <c r="E59">
        <f>B59*0.6/100</f>
        <v>0.6</v>
      </c>
      <c r="F59" s="3">
        <f>B59*168/100</f>
        <v>168</v>
      </c>
      <c r="G59" s="2">
        <f>B59*2.85/100</f>
        <v>2.85</v>
      </c>
      <c r="H59" s="3">
        <f>B59*121/100</f>
        <v>121</v>
      </c>
      <c r="I59">
        <f>B59*42/100</f>
        <v>42</v>
      </c>
      <c r="J59">
        <f>B59*89/100</f>
        <v>89</v>
      </c>
      <c r="K59" s="2">
        <f>B59*233/100</f>
        <v>233</v>
      </c>
      <c r="L59" s="2">
        <f>B59*1.23/100</f>
        <v>1.23</v>
      </c>
      <c r="M59">
        <f>B59*0.13/100</f>
        <v>0.13</v>
      </c>
      <c r="N59">
        <f>B59*0.2/100</f>
        <v>0.2</v>
      </c>
      <c r="O59">
        <f>B59*0.7/100</f>
        <v>0.7</v>
      </c>
      <c r="P59">
        <f>B59*3/100</f>
        <v>3</v>
      </c>
      <c r="Q59">
        <f>B59*0.05/100</f>
        <v>0.05</v>
      </c>
      <c r="R59">
        <f>B59*0.15/100</f>
        <v>0.15</v>
      </c>
      <c r="S59">
        <f>B59*0.47/100</f>
        <v>0.47</v>
      </c>
      <c r="T59">
        <f>B59*12.8/100</f>
        <v>12.8</v>
      </c>
      <c r="U59" s="2">
        <f>B59*0.642/100</f>
        <v>0.64200000000000002</v>
      </c>
      <c r="V59">
        <f>B59*0.002/100</f>
        <v>2E-3</v>
      </c>
      <c r="W59" s="2">
        <f>B59*180/100</f>
        <v>180</v>
      </c>
      <c r="X59">
        <f>B59*6/100</f>
        <v>6</v>
      </c>
    </row>
    <row r="60" spans="1:26">
      <c r="A60" s="8" t="s">
        <v>85</v>
      </c>
      <c r="B60" s="10">
        <v>100</v>
      </c>
      <c r="C60">
        <f>B60*1.61/100</f>
        <v>1.61</v>
      </c>
      <c r="D60">
        <f>B60*2.8/100</f>
        <v>2.8</v>
      </c>
      <c r="E60">
        <f>B60*6.76/100</f>
        <v>6.76</v>
      </c>
      <c r="F60">
        <f>B60*16/100</f>
        <v>16</v>
      </c>
      <c r="G60">
        <f>B60*0.8/100</f>
        <v>0.8</v>
      </c>
      <c r="H60">
        <f>B60*23/100</f>
        <v>23</v>
      </c>
      <c r="I60">
        <f>B60*40/100</f>
        <v>40</v>
      </c>
      <c r="J60">
        <f>B60*325/100</f>
        <v>325</v>
      </c>
      <c r="K60">
        <f>B60*78/100</f>
        <v>78</v>
      </c>
      <c r="L60">
        <f>B60*0.35/100</f>
        <v>0.35</v>
      </c>
      <c r="M60">
        <f>B60*0.075/100</f>
        <v>7.4999999999999997E-2</v>
      </c>
      <c r="N60" s="2">
        <f>B60*0.329/100</f>
        <v>0.32899999999999996</v>
      </c>
      <c r="O60">
        <f>B60*0.7/100</f>
        <v>0.7</v>
      </c>
      <c r="P60">
        <f>B60*4.9/100</f>
        <v>4.9000000000000004</v>
      </c>
      <c r="Q60">
        <f>B60*0.031/100</f>
        <v>3.1E-2</v>
      </c>
      <c r="R60">
        <f>B60*0.04/100</f>
        <v>0.04</v>
      </c>
      <c r="S60">
        <f>B60*0.334/100</f>
        <v>0.33399999999999996</v>
      </c>
      <c r="T60">
        <f>B60*6/100</f>
        <v>6</v>
      </c>
      <c r="U60">
        <f>B60*0.155/100</f>
        <v>0.155</v>
      </c>
      <c r="V60">
        <f>B60*0.067/100</f>
        <v>6.7000000000000004E-2</v>
      </c>
      <c r="W60" s="2">
        <f>B60*109/100</f>
        <v>109</v>
      </c>
      <c r="X60">
        <f>B60*2/100</f>
        <v>2</v>
      </c>
    </row>
    <row r="61" spans="1:26">
      <c r="A61" s="8" t="s">
        <v>86</v>
      </c>
      <c r="B61" s="10">
        <v>100</v>
      </c>
      <c r="C61">
        <f>B61*1.57/100</f>
        <v>1.57</v>
      </c>
      <c r="D61">
        <f>B61*3/100</f>
        <v>3</v>
      </c>
      <c r="E61">
        <f>B61*4.18/100</f>
        <v>4.18</v>
      </c>
      <c r="F61">
        <f>B61*30/100</f>
        <v>30</v>
      </c>
      <c r="G61">
        <f>B61*0.61/100</f>
        <v>0.61</v>
      </c>
      <c r="H61">
        <f>B61*25/100</f>
        <v>25</v>
      </c>
      <c r="I61">
        <f>B61*47/100</f>
        <v>47</v>
      </c>
      <c r="J61">
        <f>B61*337/100</f>
        <v>337</v>
      </c>
      <c r="K61">
        <f>B61*55/100</f>
        <v>55</v>
      </c>
      <c r="L61">
        <f>B61*0.3/100</f>
        <v>0.3</v>
      </c>
      <c r="M61">
        <f>B61*0.151/100</f>
        <v>0.151</v>
      </c>
      <c r="N61">
        <f>B61*0.258/100</f>
        <v>0.25800000000000001</v>
      </c>
      <c r="O61">
        <f>B61*0.6/100</f>
        <v>0.6</v>
      </c>
      <c r="P61">
        <f>B61*2.4/100</f>
        <v>2.4</v>
      </c>
      <c r="Q61">
        <f>B61*0.078/100</f>
        <v>7.8E-2</v>
      </c>
      <c r="R61">
        <f>B61*0.061/100</f>
        <v>6.0999999999999999E-2</v>
      </c>
      <c r="S61">
        <f>B61*0.557/100</f>
        <v>0.55700000000000005</v>
      </c>
      <c r="T61">
        <f>B61*12.3/100</f>
        <v>12.3</v>
      </c>
      <c r="U61" s="2">
        <f>B61*0.8/100</f>
        <v>0.8</v>
      </c>
      <c r="V61" s="2">
        <f>B61*0.209/100</f>
        <v>0.20899999999999999</v>
      </c>
      <c r="W61">
        <f>B61*11/100</f>
        <v>11</v>
      </c>
      <c r="X61" s="2">
        <f>B61*709/100</f>
        <v>709</v>
      </c>
    </row>
    <row r="62" spans="1:26">
      <c r="A62" s="8" t="s">
        <v>87</v>
      </c>
      <c r="B62" s="10">
        <v>100</v>
      </c>
      <c r="C62">
        <f>B62*1.51/100</f>
        <v>1.51</v>
      </c>
      <c r="D62">
        <f>B62*1.3/100</f>
        <v>1.3</v>
      </c>
      <c r="E62">
        <f>B62*0.61/100</f>
        <v>0.61</v>
      </c>
      <c r="F62" s="2">
        <f>B62*72/100</f>
        <v>72</v>
      </c>
      <c r="G62" s="3">
        <f>B62*8.9/100</f>
        <v>8.9</v>
      </c>
      <c r="H62" s="3">
        <f>B62*144/100</f>
        <v>144</v>
      </c>
      <c r="I62" s="2">
        <f>B62*157/100</f>
        <v>157</v>
      </c>
      <c r="J62">
        <f>B62*63/100</f>
        <v>63</v>
      </c>
      <c r="K62">
        <f>B62*67/100</f>
        <v>67</v>
      </c>
      <c r="L62" s="2">
        <f>B62*1.95/100</f>
        <v>1.95</v>
      </c>
      <c r="M62">
        <f>B62*0.149/100</f>
        <v>0.14899999999999999</v>
      </c>
      <c r="N62" s="2">
        <f>B62*0.37/100</f>
        <v>0.37</v>
      </c>
      <c r="O62">
        <f>B62*0.7/100</f>
        <v>0.7</v>
      </c>
      <c r="P62">
        <f>B62*3/100</f>
        <v>3</v>
      </c>
      <c r="Q62">
        <f>B62*0.015/100</f>
        <v>1.4999999999999999E-2</v>
      </c>
      <c r="R62" s="2">
        <f>B62*0.466/100</f>
        <v>0.46600000000000003</v>
      </c>
      <c r="S62">
        <f>B62*0.593/100</f>
        <v>0.59299999999999997</v>
      </c>
      <c r="T62">
        <f>B62*12.9/100</f>
        <v>12.9</v>
      </c>
      <c r="U62">
        <f>B62*0.176/100</f>
        <v>0.17599999999999999</v>
      </c>
      <c r="V62">
        <f>B62*0.069/100</f>
        <v>6.9000000000000006E-2</v>
      </c>
      <c r="W62" s="2">
        <f>B62*182/100</f>
        <v>182</v>
      </c>
      <c r="X62">
        <f>B62*6/100</f>
        <v>6</v>
      </c>
      <c r="Z62" s="2"/>
    </row>
    <row r="63" spans="1:26">
      <c r="A63" s="8" t="s">
        <v>88</v>
      </c>
      <c r="B63" s="10">
        <v>100</v>
      </c>
      <c r="C63">
        <f>B63*1.5/100</f>
        <v>1.5</v>
      </c>
      <c r="D63">
        <f>B63*3.2/100</f>
        <v>3.2</v>
      </c>
      <c r="E63">
        <f>B63*0.81/100</f>
        <v>0.81</v>
      </c>
      <c r="F63" s="3">
        <f>B63*190/100</f>
        <v>190</v>
      </c>
      <c r="G63" s="2">
        <f>B63*1.1/100</f>
        <v>1.1000000000000001</v>
      </c>
      <c r="H63">
        <f>B63*31/100</f>
        <v>31</v>
      </c>
      <c r="I63">
        <f>B63*42/100</f>
        <v>42</v>
      </c>
      <c r="J63">
        <f>B63*296/100</f>
        <v>296</v>
      </c>
      <c r="K63">
        <f>B63*40/100</f>
        <v>40</v>
      </c>
      <c r="L63">
        <f>B63*0.19/100</f>
        <v>0.19</v>
      </c>
      <c r="M63">
        <f>B63*0.35/100</f>
        <v>0.35</v>
      </c>
      <c r="N63" s="2">
        <f>B63*0.466/100</f>
        <v>0.46600000000000003</v>
      </c>
      <c r="O63">
        <f>B63*1.2/100</f>
        <v>1.2</v>
      </c>
      <c r="P63" s="3">
        <f>B63*60/100</f>
        <v>60</v>
      </c>
      <c r="Q63">
        <f>B63*0.07/100</f>
        <v>7.0000000000000007E-2</v>
      </c>
      <c r="R63" s="2">
        <f>B63*0.1/100</f>
        <v>0.1</v>
      </c>
      <c r="S63">
        <f>B63*0.6/100</f>
        <v>0.6</v>
      </c>
      <c r="T63">
        <f>B63*0/100</f>
        <v>0</v>
      </c>
      <c r="U63">
        <f>B63*0.38/100</f>
        <v>0.38</v>
      </c>
      <c r="V63" s="2">
        <f>B63*0.263/100</f>
        <v>0.26300000000000001</v>
      </c>
      <c r="W63" s="2">
        <f>B63*194/100</f>
        <v>194</v>
      </c>
      <c r="X63" s="2">
        <f>B63*579/100</f>
        <v>579</v>
      </c>
      <c r="Y63" s="2"/>
      <c r="Z63" s="4"/>
    </row>
    <row r="64" spans="1:26">
      <c r="A64" s="8" t="s">
        <v>89</v>
      </c>
      <c r="B64" s="10">
        <v>100</v>
      </c>
      <c r="C64">
        <f>B64*1.5/100</f>
        <v>1.5</v>
      </c>
      <c r="D64">
        <f>B64*1.8/100</f>
        <v>1.8</v>
      </c>
      <c r="E64">
        <f>B64*3.9/100</f>
        <v>3.9</v>
      </c>
      <c r="F64" s="2">
        <f>B64*59/100</f>
        <v>59</v>
      </c>
      <c r="G64" s="2">
        <f>B64*2.1/100</f>
        <v>2.1</v>
      </c>
      <c r="H64">
        <f>B64*28/100</f>
        <v>28</v>
      </c>
      <c r="I64">
        <f>B64*35/100</f>
        <v>35</v>
      </c>
      <c r="J64">
        <f>B64*180/100</f>
        <v>180</v>
      </c>
      <c r="K64">
        <f>B64*20/100</f>
        <v>20</v>
      </c>
      <c r="L64">
        <f>B64*0.12/100</f>
        <v>0.12</v>
      </c>
      <c r="M64">
        <f>B64*0.12/100</f>
        <v>0.12</v>
      </c>
      <c r="N64" s="2">
        <f>B64*0.481/100</f>
        <v>0.48100000000000004</v>
      </c>
      <c r="O64">
        <f>B64*1/100</f>
        <v>1</v>
      </c>
      <c r="P64">
        <f>B64*12/100</f>
        <v>12</v>
      </c>
      <c r="Q64">
        <f>B64*0.06/100</f>
        <v>0.06</v>
      </c>
      <c r="R64">
        <f>B64*0.03/100</f>
        <v>0.03</v>
      </c>
      <c r="S64">
        <f>B64*0.4/100</f>
        <v>0.4</v>
      </c>
      <c r="T64">
        <f>B64*9.5/100</f>
        <v>9.5</v>
      </c>
      <c r="U64">
        <f>B64*0.14/100</f>
        <v>0.14000000000000001</v>
      </c>
      <c r="V64" s="2">
        <f>B64*0.233/100</f>
        <v>0.23300000000000001</v>
      </c>
      <c r="W64" s="2">
        <f>B64*64/100</f>
        <v>64</v>
      </c>
      <c r="X64">
        <f>B64*83/100</f>
        <v>83</v>
      </c>
      <c r="Z64" s="3"/>
    </row>
    <row r="65" spans="1:26">
      <c r="A65" s="9" t="s">
        <v>90</v>
      </c>
      <c r="B65" s="10">
        <v>100</v>
      </c>
      <c r="C65">
        <f>B65*1.43/100</f>
        <v>1.43</v>
      </c>
      <c r="D65">
        <f>B65*2.1/100</f>
        <v>2.1</v>
      </c>
      <c r="E65">
        <f>B65*3.83/100</f>
        <v>3.83</v>
      </c>
      <c r="F65" s="2">
        <f>B65*45/100</f>
        <v>45</v>
      </c>
      <c r="G65">
        <f>B65*0.8/100</f>
        <v>0.8</v>
      </c>
      <c r="H65">
        <f>B65*16/100</f>
        <v>16</v>
      </c>
      <c r="I65">
        <f>B65*30/100</f>
        <v>30</v>
      </c>
      <c r="J65">
        <f>B65*243/100</f>
        <v>243</v>
      </c>
      <c r="K65">
        <f>B65*27/100</f>
        <v>27</v>
      </c>
      <c r="L65">
        <f>B65*0.22/100</f>
        <v>0.22</v>
      </c>
      <c r="M65">
        <f>B65*0.017/100</f>
        <v>1.7000000000000001E-2</v>
      </c>
      <c r="N65">
        <f>B65*0.243/100</f>
        <v>0.24299999999999999</v>
      </c>
      <c r="O65">
        <f>B65*0.6/100</f>
        <v>0.6</v>
      </c>
      <c r="P65">
        <f>B65*57/100</f>
        <v>57</v>
      </c>
      <c r="Q65">
        <f>B65*0.064/100</f>
        <v>6.4000000000000001E-2</v>
      </c>
      <c r="R65">
        <f>B65*0.069/100</f>
        <v>6.9000000000000006E-2</v>
      </c>
      <c r="S65">
        <f>B65*0.418/100</f>
        <v>0.41799999999999998</v>
      </c>
      <c r="T65">
        <f>B65*17.1/100</f>
        <v>17.100000000000001</v>
      </c>
      <c r="U65">
        <f>B65*0.147/100</f>
        <v>0.14699999999999999</v>
      </c>
      <c r="V65" s="2">
        <f>B65*0.209/100</f>
        <v>0.20899999999999999</v>
      </c>
      <c r="W65">
        <f>B65*18/100</f>
        <v>18</v>
      </c>
      <c r="X65">
        <f>B65*56/100</f>
        <v>56</v>
      </c>
      <c r="Z65" s="3"/>
    </row>
    <row r="66" spans="1:26">
      <c r="A66" s="9" t="s">
        <v>91</v>
      </c>
      <c r="B66" s="10">
        <v>100</v>
      </c>
      <c r="C66">
        <f>B66*1.36/100</f>
        <v>1.36</v>
      </c>
      <c r="D66">
        <f>B66*1.3/100</f>
        <v>1.3</v>
      </c>
      <c r="E66">
        <f>B66*0.78/100</f>
        <v>0.78</v>
      </c>
      <c r="F66">
        <f>B66*36/100</f>
        <v>36</v>
      </c>
      <c r="G66">
        <f>B66*0.86/100</f>
        <v>0.86</v>
      </c>
      <c r="H66">
        <f>B66*13/100</f>
        <v>13</v>
      </c>
      <c r="I66">
        <f>B66*29/100</f>
        <v>29</v>
      </c>
      <c r="J66">
        <f>B66*194/100</f>
        <v>194</v>
      </c>
      <c r="K66">
        <f>B66*28/100</f>
        <v>28</v>
      </c>
      <c r="L66">
        <f>B66*0.18/100</f>
        <v>0.18</v>
      </c>
      <c r="M66">
        <f>B66*0.029/100</f>
        <v>2.9000000000000005E-2</v>
      </c>
      <c r="N66">
        <f>B66*0.25/100</f>
        <v>0.25</v>
      </c>
      <c r="O66">
        <f>B66*0.6/100</f>
        <v>0.6</v>
      </c>
      <c r="P66">
        <f>B66*9.2/100</f>
        <v>9.1999999999999993</v>
      </c>
      <c r="Q66">
        <f>B66*0.07/100</f>
        <v>7.0000000000000007E-2</v>
      </c>
      <c r="R66">
        <f>B66*0.08/100</f>
        <v>0.08</v>
      </c>
      <c r="S66">
        <f>B66*0.375/100</f>
        <v>0.375</v>
      </c>
      <c r="T66">
        <f>B66*13.6/100</f>
        <v>13.6</v>
      </c>
      <c r="U66">
        <f>B66*0.134/100</f>
        <v>0.13400000000000001</v>
      </c>
      <c r="V66" s="2">
        <f>B66*0.09/100</f>
        <v>0.09</v>
      </c>
      <c r="W66">
        <f>B66*38/100</f>
        <v>38</v>
      </c>
      <c r="X66" s="2">
        <f>B66*370/100</f>
        <v>370</v>
      </c>
    </row>
    <row r="67" spans="1:26">
      <c r="A67" s="9" t="s">
        <v>92</v>
      </c>
      <c r="B67" s="10">
        <v>100</v>
      </c>
      <c r="C67">
        <f>B67*1.33/100</f>
        <v>1.33</v>
      </c>
      <c r="D67">
        <f>B67*0.9/100</f>
        <v>0.9</v>
      </c>
      <c r="E67">
        <f>B67*0.48/100</f>
        <v>0.48</v>
      </c>
      <c r="F67">
        <f>B67*33/100</f>
        <v>33</v>
      </c>
      <c r="G67" s="2">
        <f>B67*1.2/100</f>
        <v>1.2</v>
      </c>
      <c r="H67">
        <f>B67*12/100</f>
        <v>12</v>
      </c>
      <c r="I67">
        <f>B67*28/100</f>
        <v>28</v>
      </c>
      <c r="J67">
        <f>B67*187/100</f>
        <v>187</v>
      </c>
      <c r="K67">
        <f>B67*25/100</f>
        <v>25</v>
      </c>
      <c r="L67">
        <f>B67*0.2/100</f>
        <v>0.2</v>
      </c>
      <c r="M67">
        <f>B67*0.028/100</f>
        <v>2.8000000000000004E-2</v>
      </c>
      <c r="N67">
        <f>B67*0.203/100</f>
        <v>0.20300000000000001</v>
      </c>
      <c r="O67">
        <f>B67*1.5/100</f>
        <v>1.5</v>
      </c>
      <c r="P67">
        <f>B67*3.7/100</f>
        <v>3.7</v>
      </c>
      <c r="Q67">
        <f>B67*0.064/100</f>
        <v>6.4000000000000001E-2</v>
      </c>
      <c r="R67">
        <f>B67*0.077/100</f>
        <v>7.6999999999999999E-2</v>
      </c>
      <c r="S67">
        <f>B67*0.321/100</f>
        <v>0.32100000000000001</v>
      </c>
      <c r="T67">
        <f>B67*11.8/100</f>
        <v>11.8</v>
      </c>
      <c r="U67">
        <f>B67*0.144/100</f>
        <v>0.14399999999999999</v>
      </c>
      <c r="V67" s="2">
        <f>B67*0.1/100</f>
        <v>0.1</v>
      </c>
      <c r="X67" s="2">
        <f>B67*375/100</f>
        <v>375</v>
      </c>
    </row>
    <row r="68" spans="1:26">
      <c r="A68" s="9" t="s">
        <v>93</v>
      </c>
      <c r="B68" s="10">
        <v>100</v>
      </c>
      <c r="C68">
        <f>B68*1.28/100</f>
        <v>1.28</v>
      </c>
      <c r="D68">
        <f>B68*2.5/100</f>
        <v>2.5</v>
      </c>
      <c r="E68">
        <f>B68*3.2/100</f>
        <v>3.2</v>
      </c>
      <c r="F68" s="2">
        <f>B68*40/100</f>
        <v>40</v>
      </c>
      <c r="G68">
        <f>B68*0.47/100</f>
        <v>0.47</v>
      </c>
      <c r="H68">
        <f>B68*12/100</f>
        <v>12</v>
      </c>
      <c r="I68">
        <f>B68*26/100</f>
        <v>26</v>
      </c>
      <c r="J68">
        <f>B68*170/100</f>
        <v>170</v>
      </c>
      <c r="K68">
        <f>B68*18/100</f>
        <v>18</v>
      </c>
      <c r="L68">
        <f>B68*0.18/100</f>
        <v>0.18</v>
      </c>
      <c r="M68">
        <f>B68*0.019/100</f>
        <v>1.9E-2</v>
      </c>
      <c r="N68">
        <f>B68*0.16/100</f>
        <v>0.16</v>
      </c>
      <c r="O68">
        <f>B68*0.3/100</f>
        <v>0.3</v>
      </c>
      <c r="P68" s="2">
        <f>B68*36.6/100</f>
        <v>36.6</v>
      </c>
      <c r="Q68">
        <f>B68*0.061/100</f>
        <v>6.0999999999999999E-2</v>
      </c>
      <c r="R68">
        <f>B68*0.04/100</f>
        <v>0.04</v>
      </c>
      <c r="S68">
        <f>B68*0.234/100</f>
        <v>0.23400000000000001</v>
      </c>
      <c r="T68">
        <f>B68*10.7/100</f>
        <v>10.7</v>
      </c>
      <c r="U68">
        <f>B68*0.212/100</f>
        <v>0.21199999999999999</v>
      </c>
      <c r="V68" s="2">
        <f>B68*0.124/100</f>
        <v>0.124</v>
      </c>
      <c r="W68" s="2">
        <f>B68*43/100</f>
        <v>43</v>
      </c>
      <c r="X68">
        <f>B68*5/100</f>
        <v>5</v>
      </c>
    </row>
    <row r="69" spans="1:26">
      <c r="A69" s="8" t="s">
        <v>94</v>
      </c>
      <c r="B69" s="10">
        <v>100</v>
      </c>
      <c r="C69">
        <f>B69*1.25/100</f>
        <v>1.25</v>
      </c>
      <c r="D69">
        <f>B69*3.1/100</f>
        <v>3.1</v>
      </c>
      <c r="E69">
        <f>B69*0.25/100</f>
        <v>0.25</v>
      </c>
      <c r="F69" s="2">
        <f>B69*52/100</f>
        <v>52</v>
      </c>
      <c r="G69">
        <f>B69*0.83/100</f>
        <v>0.83</v>
      </c>
      <c r="H69">
        <f>B69*15/100</f>
        <v>15</v>
      </c>
      <c r="I69">
        <f>B69*28/100</f>
        <v>28</v>
      </c>
      <c r="J69">
        <f>B69*314/100</f>
        <v>314</v>
      </c>
      <c r="K69">
        <f>B69*22/100</f>
        <v>22</v>
      </c>
      <c r="L69">
        <f>B69*0.79/100</f>
        <v>0.79</v>
      </c>
      <c r="M69">
        <f>B69*0.099/100</f>
        <v>9.9000000000000005E-2</v>
      </c>
      <c r="N69" s="2">
        <f>B69*0.42/100</f>
        <v>0.42</v>
      </c>
      <c r="O69">
        <f>B69*0.2/100</f>
        <v>0.2</v>
      </c>
      <c r="P69">
        <f>B69*6.5/100</f>
        <v>6.5</v>
      </c>
      <c r="Q69">
        <f>B69*0.08/100</f>
        <v>0.08</v>
      </c>
      <c r="R69">
        <f>B69*0.075/100</f>
        <v>7.4999999999999997E-2</v>
      </c>
      <c r="S69">
        <f>B69*0.4/100</f>
        <v>0.4</v>
      </c>
      <c r="T69">
        <f>B69*16.8/100</f>
        <v>16.8</v>
      </c>
      <c r="U69" s="2">
        <f>B69*0.9/100</f>
        <v>0.9</v>
      </c>
      <c r="V69">
        <f>B69*0.02/100</f>
        <v>0.02</v>
      </c>
      <c r="W69" s="2">
        <f>B69*142/100</f>
        <v>142</v>
      </c>
      <c r="X69" s="2">
        <f>B69*108/100</f>
        <v>108</v>
      </c>
      <c r="Z69" s="3"/>
    </row>
    <row r="70" spans="1:26">
      <c r="A70" s="8" t="s">
        <v>95</v>
      </c>
      <c r="B70" s="10">
        <v>100</v>
      </c>
      <c r="C70">
        <f>B70*1.24/100</f>
        <v>1.24</v>
      </c>
      <c r="D70">
        <f>B70*3.1/100</f>
        <v>3.1</v>
      </c>
      <c r="E70">
        <f>B70*0/100</f>
        <v>0</v>
      </c>
      <c r="F70" s="2">
        <f>B70*49/100</f>
        <v>49</v>
      </c>
      <c r="G70">
        <f>B70*0.73/100</f>
        <v>0.73</v>
      </c>
      <c r="H70">
        <f>B70*17/100</f>
        <v>17</v>
      </c>
      <c r="I70">
        <f>B70*50/100</f>
        <v>50</v>
      </c>
      <c r="J70">
        <f>B70*414/100</f>
        <v>414</v>
      </c>
      <c r="K70">
        <f>B70*52/100</f>
        <v>52</v>
      </c>
      <c r="L70">
        <f>B70*0.2/100</f>
        <v>0.2</v>
      </c>
      <c r="M70">
        <f>B70*0.066/100</f>
        <v>6.6000000000000003E-2</v>
      </c>
      <c r="N70">
        <f>B70*0.191/100</f>
        <v>0.191</v>
      </c>
      <c r="O70">
        <f>B70*0.7/100</f>
        <v>0.7</v>
      </c>
      <c r="P70">
        <f>B70*12/100</f>
        <v>12</v>
      </c>
      <c r="Q70">
        <f>B70*0.01/100</f>
        <v>0.01</v>
      </c>
      <c r="R70">
        <f>B70*0.032/100</f>
        <v>3.2000000000000001E-2</v>
      </c>
      <c r="S70">
        <f>B70*0.64/100</f>
        <v>0.64</v>
      </c>
      <c r="T70">
        <f>B70*0/100</f>
        <v>0</v>
      </c>
      <c r="U70">
        <f>B70*0.232/100</f>
        <v>0.23200000000000004</v>
      </c>
      <c r="V70">
        <f>B70*0.047/100</f>
        <v>4.7E-2</v>
      </c>
      <c r="W70">
        <f>B70*27/100</f>
        <v>27</v>
      </c>
      <c r="X70">
        <f>B70*7/100</f>
        <v>7</v>
      </c>
      <c r="Z70" s="3"/>
    </row>
    <row r="71" spans="1:26">
      <c r="A71" s="8" t="s">
        <v>96</v>
      </c>
      <c r="B71" s="10">
        <v>100</v>
      </c>
      <c r="C71">
        <f>B71*1.21/100</f>
        <v>1.21</v>
      </c>
      <c r="D71">
        <f>B71*1.1/100</f>
        <v>1.1000000000000001</v>
      </c>
      <c r="E71">
        <f>B71*2.2/100</f>
        <v>2.2000000000000002</v>
      </c>
      <c r="F71">
        <f>B71*15/100</f>
        <v>15</v>
      </c>
      <c r="G71">
        <f>B71*0.35/100</f>
        <v>0.35</v>
      </c>
      <c r="H71">
        <f>B71*17/100</f>
        <v>17</v>
      </c>
      <c r="I71">
        <f>B71*38/100</f>
        <v>38</v>
      </c>
      <c r="J71">
        <f>B71*262/100</f>
        <v>262</v>
      </c>
      <c r="K71">
        <f>B71*2/100</f>
        <v>2</v>
      </c>
      <c r="L71">
        <f>B71*0.29/100</f>
        <v>0.28999999999999998</v>
      </c>
      <c r="M71">
        <f>B71*0.051/100</f>
        <v>5.0999999999999997E-2</v>
      </c>
      <c r="N71">
        <f>B71*0.175/100</f>
        <v>0.17499999999999999</v>
      </c>
      <c r="O71">
        <f>B71*0.2/100</f>
        <v>0.2</v>
      </c>
      <c r="P71">
        <f>B71*17/100</f>
        <v>17</v>
      </c>
      <c r="Q71">
        <f>B71*0.048/100</f>
        <v>4.8000000000000001E-2</v>
      </c>
      <c r="R71" s="2">
        <f>B71*0.142/100</f>
        <v>0.14199999999999999</v>
      </c>
      <c r="S71">
        <f>B71*0.487/100</f>
        <v>0.48699999999999993</v>
      </c>
      <c r="T71">
        <f>B71*6.7/100</f>
        <v>6.7</v>
      </c>
      <c r="U71">
        <f>B71*0.155/100</f>
        <v>0.155</v>
      </c>
      <c r="V71" s="2">
        <f>B71*0.218/100</f>
        <v>0.218</v>
      </c>
      <c r="W71">
        <f>B71*29/100</f>
        <v>29</v>
      </c>
      <c r="X71">
        <f>B71*10/100</f>
        <v>10</v>
      </c>
    </row>
    <row r="72" spans="1:26">
      <c r="A72" s="8" t="s">
        <v>97</v>
      </c>
      <c r="B72" s="10">
        <v>100</v>
      </c>
      <c r="C72">
        <f>B72*1.21/100</f>
        <v>1.21</v>
      </c>
      <c r="D72">
        <f>B72*1/100</f>
        <v>1</v>
      </c>
      <c r="E72">
        <f>B72*2.5/100</f>
        <v>2.5</v>
      </c>
      <c r="F72">
        <f>B72*16/100</f>
        <v>16</v>
      </c>
      <c r="G72">
        <f>B72*0.37/100</f>
        <v>0.37</v>
      </c>
      <c r="H72">
        <f>B72*18/100</f>
        <v>18</v>
      </c>
      <c r="I72">
        <f>B72*38/100</f>
        <v>38</v>
      </c>
      <c r="J72">
        <f>B72*261/100</f>
        <v>261</v>
      </c>
      <c r="K72">
        <f>B72*8/100</f>
        <v>8</v>
      </c>
      <c r="L72">
        <f>B72*0.32/100</f>
        <v>0.32</v>
      </c>
      <c r="M72">
        <f>B72*0.053/100</f>
        <v>5.2999999999999999E-2</v>
      </c>
      <c r="N72">
        <f>B72*0.177/100</f>
        <v>0.17699999999999999</v>
      </c>
      <c r="O72">
        <f>B72*0.2/100</f>
        <v>0.2</v>
      </c>
      <c r="P72">
        <f>B72*17.9/100</f>
        <v>17.899999999999999</v>
      </c>
      <c r="Q72">
        <f>B72*0.045/100</f>
        <v>4.4999999999999998E-2</v>
      </c>
      <c r="R72" s="2">
        <f>B72*0.094/100</f>
        <v>9.4E-2</v>
      </c>
      <c r="S72">
        <f>B72*0.451/100</f>
        <v>0.45100000000000001</v>
      </c>
      <c r="T72">
        <f>B72*9.5/100</f>
        <v>9.5</v>
      </c>
      <c r="U72">
        <f>B72*0.204/100</f>
        <v>0.20399999999999999</v>
      </c>
      <c r="V72" s="2">
        <f>B72*0.163/100</f>
        <v>0.16300000000000001</v>
      </c>
      <c r="W72">
        <f>B72*24/100</f>
        <v>24</v>
      </c>
      <c r="X72">
        <f>B72*10/100</f>
        <v>10</v>
      </c>
    </row>
    <row r="73" spans="1:26">
      <c r="A73" s="8" t="s">
        <v>98</v>
      </c>
      <c r="B73" s="10">
        <v>100</v>
      </c>
      <c r="C73">
        <f>B73*1.2/100</f>
        <v>1.2</v>
      </c>
      <c r="D73">
        <f>B73*2.5/100</f>
        <v>2.5</v>
      </c>
      <c r="E73">
        <f>B73*5.6/100</f>
        <v>5.6</v>
      </c>
      <c r="F73" s="2">
        <f>B73*47/100</f>
        <v>47</v>
      </c>
      <c r="G73">
        <f>B73*0.52/100</f>
        <v>0.52</v>
      </c>
      <c r="H73">
        <f>B73*23/100</f>
        <v>23</v>
      </c>
      <c r="I73">
        <f>B73*58/100</f>
        <v>58</v>
      </c>
      <c r="J73">
        <f>B73*337/100</f>
        <v>337</v>
      </c>
      <c r="K73">
        <f>B73*20/100</f>
        <v>20</v>
      </c>
      <c r="L73">
        <f>B73*0.34/100</f>
        <v>0.34</v>
      </c>
      <c r="M73">
        <f>B73*0.04/100</f>
        <v>0.04</v>
      </c>
      <c r="N73">
        <f>B73*0.17/100</f>
        <v>0.17</v>
      </c>
      <c r="O73">
        <f>B73*0.7/100</f>
        <v>0.7</v>
      </c>
      <c r="P73" s="2">
        <f>B73*25/100</f>
        <v>25</v>
      </c>
      <c r="Q73">
        <f>B73*0.09/100</f>
        <v>0.09</v>
      </c>
      <c r="R73">
        <f>B73*0.04/100</f>
        <v>0.04</v>
      </c>
      <c r="S73">
        <f>B73*0.7/100</f>
        <v>0.7</v>
      </c>
      <c r="T73">
        <f>B73*14.1/100</f>
        <v>14.1</v>
      </c>
      <c r="U73">
        <f>B73*0.16/100</f>
        <v>0.16</v>
      </c>
      <c r="V73" s="2">
        <f>B73*0.1/100</f>
        <v>0.1</v>
      </c>
      <c r="W73">
        <f>B73*21/100</f>
        <v>21</v>
      </c>
      <c r="X73">
        <f>B73*0/100</f>
        <v>0</v>
      </c>
    </row>
    <row r="74" spans="1:26">
      <c r="A74" s="9" t="s">
        <v>99</v>
      </c>
      <c r="B74" s="10">
        <v>100</v>
      </c>
      <c r="C74">
        <f>B74*1.2/100</f>
        <v>1.2</v>
      </c>
      <c r="D74">
        <f>B74*1.2/100</f>
        <v>1.2</v>
      </c>
      <c r="E74">
        <f>B74*1.41/100</f>
        <v>1.41</v>
      </c>
      <c r="F74" s="2">
        <f>B74*77/100</f>
        <v>77</v>
      </c>
      <c r="G74">
        <f>B74*0.31/100</f>
        <v>0.31</v>
      </c>
      <c r="H74">
        <f>B74*13/100</f>
        <v>13</v>
      </c>
      <c r="I74">
        <f>B74*29/100</f>
        <v>29</v>
      </c>
      <c r="J74">
        <f>B74*238/100</f>
        <v>238</v>
      </c>
      <c r="K74">
        <f>B74*9/100</f>
        <v>9</v>
      </c>
      <c r="L74">
        <f>B74*0.23/100</f>
        <v>0.23</v>
      </c>
      <c r="M74">
        <f>B74*0.036/100</f>
        <v>3.5999999999999997E-2</v>
      </c>
      <c r="N74">
        <f>B74*0.19/100</f>
        <v>0.19</v>
      </c>
      <c r="O74">
        <f>B74*0.6/100</f>
        <v>0.6</v>
      </c>
      <c r="P74" s="2">
        <f>B74*27/100</f>
        <v>27</v>
      </c>
      <c r="Q74">
        <f>B74*0.04/100</f>
        <v>0.04</v>
      </c>
      <c r="R74">
        <f>B74*0.05/100</f>
        <v>0.05</v>
      </c>
      <c r="S74">
        <f>B74*0.4/100</f>
        <v>0.4</v>
      </c>
      <c r="T74">
        <f>B74*7.6/100</f>
        <v>7.6</v>
      </c>
      <c r="U74">
        <f>B74*0.105/100</f>
        <v>0.105</v>
      </c>
      <c r="V74" s="2">
        <f>B74*0.232/100</f>
        <v>0.23200000000000004</v>
      </c>
      <c r="W74" s="2">
        <f>B74*79/100</f>
        <v>79</v>
      </c>
      <c r="X74">
        <f>B74*16/100</f>
        <v>16</v>
      </c>
      <c r="Y74" s="2"/>
    </row>
    <row r="75" spans="1:26">
      <c r="A75" s="8" t="s">
        <v>100</v>
      </c>
      <c r="B75" s="10">
        <v>100</v>
      </c>
      <c r="C75">
        <f>B75*1.2/100</f>
        <v>1.2</v>
      </c>
      <c r="D75" s="2">
        <f>B75*4.9/100</f>
        <v>4.9000000000000004</v>
      </c>
      <c r="E75">
        <f>B75*4.8/100</f>
        <v>4.8</v>
      </c>
      <c r="F75">
        <f>B75*36/100</f>
        <v>36</v>
      </c>
      <c r="G75">
        <f>B75*0.59/100</f>
        <v>0.59</v>
      </c>
      <c r="H75">
        <f>B75*29/100</f>
        <v>29</v>
      </c>
      <c r="I75" s="2">
        <f>B75*71/100</f>
        <v>71</v>
      </c>
      <c r="J75">
        <f>B75*375/100</f>
        <v>375</v>
      </c>
      <c r="K75">
        <f>B75*10/100</f>
        <v>10</v>
      </c>
      <c r="L75">
        <f>B75*0.59/100</f>
        <v>0.59</v>
      </c>
      <c r="M75">
        <f>B75*0.12/100</f>
        <v>0.12</v>
      </c>
      <c r="N75" s="2">
        <f>B75*0.56/100</f>
        <v>0.56000000000000005</v>
      </c>
      <c r="O75">
        <f>B75*1.8/100</f>
        <v>1.8</v>
      </c>
      <c r="P75">
        <f>B75*17/100</f>
        <v>17</v>
      </c>
      <c r="Q75">
        <f>B75*0.09/100</f>
        <v>0.09</v>
      </c>
      <c r="R75">
        <f>B75*0.05/100</f>
        <v>0.05</v>
      </c>
      <c r="S75">
        <f>B75*0.7/100</f>
        <v>0.7</v>
      </c>
      <c r="T75">
        <f>B75*0/100</f>
        <v>0</v>
      </c>
      <c r="U75" s="2">
        <f>B75*0.6/100</f>
        <v>0.6</v>
      </c>
      <c r="V75">
        <f>B75*0.09/100</f>
        <v>0.09</v>
      </c>
      <c r="W75" s="2">
        <f>B75*67/100</f>
        <v>67</v>
      </c>
      <c r="X75">
        <f>B75*0/100</f>
        <v>0</v>
      </c>
    </row>
    <row r="76" spans="1:26">
      <c r="A76" s="8" t="s">
        <v>101</v>
      </c>
      <c r="B76" s="10">
        <v>100</v>
      </c>
      <c r="C76">
        <f>B76*1.1/100</f>
        <v>1.1000000000000001</v>
      </c>
      <c r="D76">
        <f>B76*1.7/100</f>
        <v>1.7</v>
      </c>
      <c r="E76">
        <f>B76*4.24/100</f>
        <v>4.24</v>
      </c>
      <c r="F76">
        <f>B76*23/100</f>
        <v>23</v>
      </c>
      <c r="G76">
        <f>B76*0.21/100</f>
        <v>0.21</v>
      </c>
      <c r="H76">
        <f>B76*10/100</f>
        <v>10</v>
      </c>
      <c r="I76">
        <f>B76*29/100</f>
        <v>29</v>
      </c>
      <c r="J76">
        <f>B76*146/100</f>
        <v>146</v>
      </c>
      <c r="K76">
        <f>B76*4/100</f>
        <v>4</v>
      </c>
      <c r="L76">
        <f>B76*0.17/100</f>
        <v>0.17</v>
      </c>
      <c r="M76">
        <f>B76*0.039/100</f>
        <v>3.9E-2</v>
      </c>
      <c r="N76">
        <f>B76*0.129/100</f>
        <v>0.129</v>
      </c>
      <c r="O76">
        <f>B76*0.5/100</f>
        <v>0.5</v>
      </c>
      <c r="P76">
        <f>B76*7.4/100</f>
        <v>7.4</v>
      </c>
      <c r="Q76">
        <f>B76*0.046/100</f>
        <v>4.5999999999999999E-2</v>
      </c>
      <c r="R76">
        <f>B76*0.027/100</f>
        <v>2.7000000000000003E-2</v>
      </c>
      <c r="S76">
        <f>B76*0.116/100</f>
        <v>0.11600000000000002</v>
      </c>
      <c r="T76">
        <f>B76*6.1/100</f>
        <v>6.1</v>
      </c>
      <c r="U76">
        <f>B76*0.123/100</f>
        <v>0.12300000000000001</v>
      </c>
      <c r="V76" s="2">
        <f>B76*0.12/100</f>
        <v>0.12</v>
      </c>
      <c r="W76">
        <f>B76*19/100</f>
        <v>19</v>
      </c>
      <c r="X76">
        <f>B76*0/100</f>
        <v>0</v>
      </c>
    </row>
    <row r="77" spans="1:26">
      <c r="A77" s="8" t="s">
        <v>102</v>
      </c>
      <c r="B77" s="10">
        <v>100</v>
      </c>
      <c r="C77">
        <f>B77*1.1/100</f>
        <v>1.1000000000000001</v>
      </c>
      <c r="D77">
        <f>B77*1.4/100</f>
        <v>1.4</v>
      </c>
      <c r="E77">
        <f>B77*0/100</f>
        <v>0</v>
      </c>
      <c r="F77">
        <f>B77*27/100</f>
        <v>27</v>
      </c>
      <c r="G77">
        <f>B77*0.8/100</f>
        <v>0.8</v>
      </c>
      <c r="H77">
        <f>B77*9/100</f>
        <v>9</v>
      </c>
      <c r="I77">
        <f>B77*28/100</f>
        <v>28</v>
      </c>
      <c r="J77">
        <f>B77*280/100</f>
        <v>280</v>
      </c>
      <c r="K77">
        <f>B77*16/100</f>
        <v>16</v>
      </c>
      <c r="L77">
        <f>B77*0.13/100</f>
        <v>0.13</v>
      </c>
      <c r="M77">
        <f>B77*0.099/100</f>
        <v>9.9000000000000005E-2</v>
      </c>
      <c r="N77">
        <f>B77*0.033/100</f>
        <v>3.3000000000000002E-2</v>
      </c>
      <c r="O77">
        <f>B77*0.7/100</f>
        <v>0.7</v>
      </c>
      <c r="P77">
        <f>B77*29/100</f>
        <v>29</v>
      </c>
      <c r="Q77">
        <f>B77*0.03/100</f>
        <v>0.03</v>
      </c>
      <c r="R77">
        <f>B77*0.02/100</f>
        <v>0.02</v>
      </c>
      <c r="S77">
        <f>B77*0.3/100</f>
        <v>0.3</v>
      </c>
      <c r="T77">
        <f>B77*0/100</f>
        <v>0</v>
      </c>
      <c r="U77">
        <f>B77*0.184/100</f>
        <v>0.184</v>
      </c>
      <c r="V77">
        <f>B77*0.075/100</f>
        <v>7.4999999999999997E-2</v>
      </c>
      <c r="W77">
        <f>B77*14/100</f>
        <v>14</v>
      </c>
      <c r="X77">
        <f>B77*0/100</f>
        <v>0</v>
      </c>
    </row>
    <row r="78" spans="1:26">
      <c r="A78" s="8" t="s">
        <v>103</v>
      </c>
      <c r="B78" s="10">
        <v>100</v>
      </c>
      <c r="C78">
        <f>B78*1.01/100</f>
        <v>1.01</v>
      </c>
      <c r="D78">
        <f>B78*3.4/100</f>
        <v>3.4</v>
      </c>
      <c r="E78">
        <f>B78*2.35/100</f>
        <v>2.35</v>
      </c>
      <c r="F78">
        <f>B78*9/100</f>
        <v>9</v>
      </c>
      <c r="G78">
        <f>B78*0.24/100</f>
        <v>0.24</v>
      </c>
      <c r="H78">
        <f>B78*14/100</f>
        <v>14</v>
      </c>
      <c r="I78">
        <f>B78*25/100</f>
        <v>25</v>
      </c>
      <c r="J78">
        <f>B78*230/100</f>
        <v>230</v>
      </c>
      <c r="K78">
        <f>B78*2/100</f>
        <v>2</v>
      </c>
      <c r="L78">
        <f>B78*0.16/100</f>
        <v>0.16</v>
      </c>
      <c r="M78">
        <f>B78*0.082/100</f>
        <v>8.2000000000000017E-2</v>
      </c>
      <c r="N78">
        <f>B78*0.25/100</f>
        <v>0.25</v>
      </c>
      <c r="O78">
        <f>B78*0.3/100</f>
        <v>0.3</v>
      </c>
      <c r="P78">
        <f>B78*2.2/100</f>
        <v>2.2000000000000002</v>
      </c>
      <c r="Q78">
        <f>B78*0.039/100</f>
        <v>3.9E-2</v>
      </c>
      <c r="R78">
        <f>B78*0.037/100</f>
        <v>3.6999999999999998E-2</v>
      </c>
      <c r="S78">
        <f>B78*0.649/100</f>
        <v>0.64900000000000002</v>
      </c>
      <c r="T78">
        <f>B78*6.9/100</f>
        <v>6.9</v>
      </c>
      <c r="U78">
        <f>B78*0.281/100</f>
        <v>0.28100000000000003</v>
      </c>
      <c r="V78">
        <f>B78*0.084/100</f>
        <v>8.4000000000000005E-2</v>
      </c>
      <c r="W78">
        <f>B78*22/100</f>
        <v>22</v>
      </c>
      <c r="X78">
        <f>B78*1/100</f>
        <v>1</v>
      </c>
      <c r="Y78" s="2"/>
      <c r="Z78" s="4"/>
    </row>
    <row r="79" spans="1:26">
      <c r="A79" s="8" t="s">
        <v>104</v>
      </c>
      <c r="B79" s="10">
        <v>100</v>
      </c>
      <c r="C79">
        <f>B79*1/100</f>
        <v>1</v>
      </c>
      <c r="D79">
        <f>B79*0.5/100</f>
        <v>0.5</v>
      </c>
      <c r="E79">
        <f>B79*1.36/100</f>
        <v>1.36</v>
      </c>
      <c r="F79">
        <f>B79*21/100</f>
        <v>21</v>
      </c>
      <c r="G79">
        <f>B79*0.8/100</f>
        <v>0.8</v>
      </c>
      <c r="H79">
        <f>B79*12/100</f>
        <v>12</v>
      </c>
      <c r="I79">
        <f>B79*44/100</f>
        <v>44</v>
      </c>
      <c r="J79">
        <f>B79*340/100</f>
        <v>340</v>
      </c>
      <c r="K79">
        <f>B79*1/100</f>
        <v>1</v>
      </c>
      <c r="L79">
        <f>B79*0.32/100</f>
        <v>0.32</v>
      </c>
      <c r="M79">
        <f>B79*0.127/100</f>
        <v>0.127</v>
      </c>
      <c r="N79">
        <f>B79*0.125/100</f>
        <v>0.125</v>
      </c>
      <c r="O79">
        <f>B79*0.3/100</f>
        <v>0.3</v>
      </c>
      <c r="P79">
        <f>B79*9/100</f>
        <v>9</v>
      </c>
      <c r="Q79">
        <f>B79*0.05/100</f>
        <v>0.05</v>
      </c>
      <c r="R79" s="2">
        <f>B79*0.11/100</f>
        <v>0.11</v>
      </c>
      <c r="S79">
        <f>B79*0.6/100</f>
        <v>0.6</v>
      </c>
      <c r="T79">
        <f>B79*8.2/100</f>
        <v>8.1999999999999993</v>
      </c>
      <c r="U79">
        <f>B79*0.298/100</f>
        <v>0.29799999999999999</v>
      </c>
      <c r="V79">
        <f>B79*0.061/100</f>
        <v>6.0999999999999999E-2</v>
      </c>
      <c r="W79">
        <f>B79*16/100</f>
        <v>16</v>
      </c>
      <c r="X79" s="2">
        <f>B79*369/100</f>
        <v>369</v>
      </c>
    </row>
    <row r="80" spans="1:26">
      <c r="A80" s="9" t="s">
        <v>105</v>
      </c>
      <c r="B80" s="10">
        <v>100</v>
      </c>
      <c r="C80">
        <f>B80*0.99/100</f>
        <v>0.99</v>
      </c>
      <c r="D80">
        <f>B80*2.1/100</f>
        <v>2.1</v>
      </c>
      <c r="E80">
        <f>B80*4.2/100</f>
        <v>4.2</v>
      </c>
      <c r="F80">
        <f>B80*7/100</f>
        <v>7</v>
      </c>
      <c r="G80">
        <f>B80*0.43/100</f>
        <v>0.43</v>
      </c>
      <c r="H80">
        <f>B80*12/100</f>
        <v>12</v>
      </c>
      <c r="I80">
        <f>B80*26/100</f>
        <v>26</v>
      </c>
      <c r="J80">
        <f>B80*211/100</f>
        <v>211</v>
      </c>
      <c r="K80">
        <f>B80*4/100</f>
        <v>4</v>
      </c>
      <c r="L80">
        <f>B80*0.25/100</f>
        <v>0.25</v>
      </c>
      <c r="M80">
        <f>B80*0.017/100</f>
        <v>1.7000000000000001E-2</v>
      </c>
      <c r="N80">
        <f>B80*0.112/100</f>
        <v>0.11200000000000002</v>
      </c>
      <c r="O80">
        <f>B80*0.1/100</f>
        <v>0.1</v>
      </c>
      <c r="P80" s="4">
        <f>B80*127.7/100</f>
        <v>127.7</v>
      </c>
      <c r="Q80">
        <f>B80*0.054/100</f>
        <v>5.4000000000000006E-2</v>
      </c>
      <c r="R80">
        <f>B80*0.085/100</f>
        <v>8.5000000000000006E-2</v>
      </c>
      <c r="S80" s="2">
        <f>B80*0.979/100</f>
        <v>0.97899999999999987</v>
      </c>
      <c r="T80">
        <f>B80*5.6/100</f>
        <v>5.6</v>
      </c>
      <c r="U80">
        <f>B80*0.317/100</f>
        <v>0.317</v>
      </c>
      <c r="V80" s="2">
        <f>B80*0.291/100</f>
        <v>0.29099999999999998</v>
      </c>
      <c r="W80" s="2">
        <f>B80*46/100</f>
        <v>46</v>
      </c>
      <c r="X80" s="2">
        <f>B80*157/100</f>
        <v>157</v>
      </c>
    </row>
    <row r="81" spans="1:30">
      <c r="A81" s="8" t="s">
        <v>106</v>
      </c>
      <c r="B81" s="10">
        <v>100</v>
      </c>
      <c r="C81">
        <f>B81*0.97/100</f>
        <v>0.97</v>
      </c>
      <c r="D81">
        <f>B81*1.8/100</f>
        <v>1.8</v>
      </c>
      <c r="E81">
        <f>B81*4.95/100</f>
        <v>4.95</v>
      </c>
      <c r="F81" s="2">
        <f>B81*52/100</f>
        <v>52</v>
      </c>
      <c r="G81">
        <f>B81*0.51/100</f>
        <v>0.51</v>
      </c>
      <c r="H81">
        <f>B81*16/100</f>
        <v>16</v>
      </c>
      <c r="I81">
        <f>B81*25/100</f>
        <v>25</v>
      </c>
      <c r="J81">
        <f>B81*159/100</f>
        <v>159</v>
      </c>
      <c r="K81">
        <f>B81*15/100</f>
        <v>15</v>
      </c>
      <c r="L81">
        <f>B81*0.2/100</f>
        <v>0.2</v>
      </c>
      <c r="M81">
        <f>B81*0.031/100</f>
        <v>3.1E-2</v>
      </c>
      <c r="N81">
        <f>B81*0.15/100</f>
        <v>0.15</v>
      </c>
      <c r="O81">
        <f>B81*0.5/100</f>
        <v>0.5</v>
      </c>
      <c r="P81">
        <f>B81*13.4/100</f>
        <v>13.4</v>
      </c>
      <c r="Q81">
        <f>B81*0.03/100</f>
        <v>0.03</v>
      </c>
      <c r="R81">
        <f>B81*0.026/100</f>
        <v>2.6000000000000002E-2</v>
      </c>
      <c r="S81">
        <f>B81*0.33/100</f>
        <v>0.33</v>
      </c>
      <c r="T81">
        <f>B81*4.3/100</f>
        <v>4.3</v>
      </c>
      <c r="U81">
        <f>B81*0.138/100</f>
        <v>0.13800000000000001</v>
      </c>
      <c r="V81">
        <f>B81*0.088/100</f>
        <v>8.7999999999999995E-2</v>
      </c>
      <c r="W81">
        <f>B81*30/100</f>
        <v>30</v>
      </c>
      <c r="X81" s="2">
        <f>B81*200/100</f>
        <v>200</v>
      </c>
      <c r="Y81" s="2"/>
      <c r="Z81" s="4"/>
    </row>
    <row r="82" spans="1:30">
      <c r="A82" s="8" t="s">
        <v>107</v>
      </c>
      <c r="B82" s="10">
        <v>100</v>
      </c>
      <c r="C82">
        <f>B82*0.96/100</f>
        <v>0.96</v>
      </c>
      <c r="D82">
        <f>B82*1.9/100</f>
        <v>1.9</v>
      </c>
      <c r="E82">
        <f>B82*3.93/100</f>
        <v>3.93</v>
      </c>
      <c r="F82">
        <f>B82*7/100</f>
        <v>7</v>
      </c>
      <c r="G82">
        <f>B82*0.62/100</f>
        <v>0.62</v>
      </c>
      <c r="H82">
        <f>B82*20/100</f>
        <v>20</v>
      </c>
      <c r="I82">
        <f>B82*39/100</f>
        <v>39</v>
      </c>
      <c r="J82">
        <f>B82*268/100</f>
        <v>268</v>
      </c>
      <c r="K82">
        <f>B82*1/100</f>
        <v>1</v>
      </c>
      <c r="L82">
        <f>B82*0.22/100</f>
        <v>0.22</v>
      </c>
      <c r="M82">
        <f>B82*0.079/100</f>
        <v>7.9000000000000001E-2</v>
      </c>
      <c r="N82">
        <f>B82*0.153/100</f>
        <v>0.153</v>
      </c>
      <c r="O82">
        <f>B82*0.5/100</f>
        <v>0.5</v>
      </c>
      <c r="P82">
        <f>B82*11.7/100</f>
        <v>11.7</v>
      </c>
      <c r="Q82">
        <f>B82*0.044/100</f>
        <v>4.3999999999999997E-2</v>
      </c>
      <c r="R82">
        <f>B82*0.035/100</f>
        <v>3.5000000000000003E-2</v>
      </c>
      <c r="S82" s="2">
        <f>B82*1.85/100</f>
        <v>1.85</v>
      </c>
      <c r="T82">
        <f>B82*7.6/100</f>
        <v>7.6</v>
      </c>
      <c r="U82">
        <f>B82*0.15/100</f>
        <v>0.15</v>
      </c>
      <c r="V82">
        <f>B82*0.056/100</f>
        <v>5.6000000000000008E-2</v>
      </c>
      <c r="W82">
        <f>B82*7/100</f>
        <v>7</v>
      </c>
      <c r="X82">
        <f>B82*6/100</f>
        <v>6</v>
      </c>
    </row>
    <row r="83" spans="1:30">
      <c r="A83" s="8" t="s">
        <v>108</v>
      </c>
      <c r="B83" s="10">
        <v>100</v>
      </c>
      <c r="C83">
        <f>B83*0.95/100</f>
        <v>0.95</v>
      </c>
      <c r="D83">
        <f>B83*1.5/100</f>
        <v>1.5</v>
      </c>
      <c r="E83">
        <f>B83*2.2/100</f>
        <v>2.2000000000000002</v>
      </c>
      <c r="F83">
        <f>B83*28/100</f>
        <v>28</v>
      </c>
      <c r="G83">
        <f>B83*0.58/100</f>
        <v>0.57999999999999996</v>
      </c>
      <c r="H83">
        <f>B83*14/100</f>
        <v>14</v>
      </c>
      <c r="I83">
        <f>B83*23/100</f>
        <v>23</v>
      </c>
      <c r="J83">
        <f>B83*350/100</f>
        <v>350</v>
      </c>
      <c r="K83">
        <f>B83*4/100</f>
        <v>4</v>
      </c>
      <c r="L83">
        <f>B83*0.21/100</f>
        <v>0.21</v>
      </c>
      <c r="M83">
        <f>B83*0.071/100</f>
        <v>7.0999999999999994E-2</v>
      </c>
      <c r="N83">
        <f>B83*0.163/100</f>
        <v>0.16300000000000001</v>
      </c>
      <c r="O83">
        <f>B83*0.4/100</f>
        <v>0.4</v>
      </c>
      <c r="P83">
        <f>B83*12.3/100</f>
        <v>12.3</v>
      </c>
      <c r="Q83">
        <f>B83*0.03/100</f>
        <v>0.03</v>
      </c>
      <c r="R83">
        <f>B83*0.062/100</f>
        <v>6.2E-2</v>
      </c>
      <c r="S83">
        <f>B83*0.5/100</f>
        <v>0.5</v>
      </c>
      <c r="T83">
        <f>B83*10/100</f>
        <v>10</v>
      </c>
      <c r="U83">
        <f>B83*0.188/100</f>
        <v>0.188</v>
      </c>
      <c r="V83" s="2">
        <f>B83*0.156/100</f>
        <v>0.156</v>
      </c>
      <c r="W83">
        <f>B83*24/100</f>
        <v>24</v>
      </c>
      <c r="X83">
        <f>B83*68/100</f>
        <v>68</v>
      </c>
      <c r="Y83" s="3"/>
    </row>
    <row r="84" spans="1:30">
      <c r="A84" s="8" t="s">
        <v>109</v>
      </c>
      <c r="B84" s="10">
        <v>100</v>
      </c>
      <c r="C84">
        <f>B84*0.93/100</f>
        <v>0.93</v>
      </c>
      <c r="D84">
        <f>B84*2.8/100</f>
        <v>2.8</v>
      </c>
      <c r="E84">
        <f>B84*4.74/100</f>
        <v>4.74</v>
      </c>
      <c r="F84">
        <f>B84*33/100</f>
        <v>33</v>
      </c>
      <c r="G84">
        <f>B84*0.3/100</f>
        <v>0.3</v>
      </c>
      <c r="H84">
        <f>B84*12/100</f>
        <v>12</v>
      </c>
      <c r="I84">
        <f>B84*35/100</f>
        <v>35</v>
      </c>
      <c r="J84">
        <f>B84*320/100</f>
        <v>320</v>
      </c>
      <c r="K84" s="2">
        <f>B84*69/100</f>
        <v>69</v>
      </c>
      <c r="L84">
        <f>B84*0.24/100</f>
        <v>0.24</v>
      </c>
      <c r="M84">
        <f>B84*0.045/100</f>
        <v>4.4999999999999998E-2</v>
      </c>
      <c r="N84">
        <f>B84*0.143/100</f>
        <v>0.14299999999999999</v>
      </c>
      <c r="O84">
        <f>B84*0.1/100</f>
        <v>0.1</v>
      </c>
      <c r="P84">
        <f>B84*5.9/100</f>
        <v>5.9</v>
      </c>
      <c r="Q84">
        <f>B84*0.066/100</f>
        <v>6.6000000000000003E-2</v>
      </c>
      <c r="R84">
        <f>B84*0.058/100</f>
        <v>5.800000000000001E-2</v>
      </c>
      <c r="S84">
        <f>B84*0.983/100</f>
        <v>0.98299999999999998</v>
      </c>
      <c r="T84">
        <f>B84*8.8/100</f>
        <v>8.8000000000000007</v>
      </c>
      <c r="U84">
        <f>B84*0.273/100</f>
        <v>0.27300000000000002</v>
      </c>
      <c r="V84" s="2">
        <f>B84*0.138/100</f>
        <v>0.13800000000000001</v>
      </c>
      <c r="W84">
        <f>B84*19/100</f>
        <v>19</v>
      </c>
      <c r="X84" s="2">
        <f>B84*835/100</f>
        <v>835</v>
      </c>
      <c r="Z84" s="2"/>
    </row>
    <row r="85" spans="1:30">
      <c r="A85" s="8" t="s">
        <v>110</v>
      </c>
      <c r="B85" s="10">
        <v>100</v>
      </c>
      <c r="C85">
        <f>B85*0.9/100</f>
        <v>0.9</v>
      </c>
      <c r="D85">
        <f>B85*1.8/100</f>
        <v>1.8</v>
      </c>
      <c r="E85">
        <f>B85*3.8/100</f>
        <v>3.8</v>
      </c>
      <c r="F85">
        <f>B85*30/100</f>
        <v>30</v>
      </c>
      <c r="G85">
        <f>B85*0.3/100</f>
        <v>0.3</v>
      </c>
      <c r="H85">
        <f>B85*11/100</f>
        <v>11</v>
      </c>
      <c r="I85">
        <f>B85*27/100</f>
        <v>27</v>
      </c>
      <c r="J85">
        <f>B85*191/100</f>
        <v>191</v>
      </c>
      <c r="K85" s="2">
        <f>B85*67/100</f>
        <v>67</v>
      </c>
      <c r="L85">
        <f>B85*0.27/100</f>
        <v>0.27</v>
      </c>
      <c r="M85">
        <f>B85*0.085/100</f>
        <v>8.5000000000000006E-2</v>
      </c>
      <c r="N85">
        <f>B85*0.134/100</f>
        <v>0.13400000000000001</v>
      </c>
      <c r="O85">
        <f>B85*0.7/100</f>
        <v>0.7</v>
      </c>
      <c r="P85">
        <f>B85*21/100</f>
        <v>21</v>
      </c>
      <c r="Q85">
        <f>B85*0.04/100</f>
        <v>0.04</v>
      </c>
      <c r="R85">
        <f>B85*0.03/100</f>
        <v>0.03</v>
      </c>
      <c r="S85">
        <f>B85*0.4/100</f>
        <v>0.4</v>
      </c>
      <c r="T85">
        <f>B85*11.1/100</f>
        <v>11.1</v>
      </c>
      <c r="U85">
        <f>B85*0.2/100</f>
        <v>0.2</v>
      </c>
      <c r="V85">
        <f>B85*0.09/100</f>
        <v>0.09</v>
      </c>
      <c r="W85">
        <f>B85*15/100</f>
        <v>15</v>
      </c>
      <c r="X85">
        <f>B85*0/100</f>
        <v>0</v>
      </c>
    </row>
    <row r="86" spans="1:30">
      <c r="A86" s="9" t="s">
        <v>111</v>
      </c>
      <c r="B86" s="10">
        <v>100</v>
      </c>
      <c r="C86">
        <f>B86*0.88/100</f>
        <v>0.88</v>
      </c>
      <c r="D86">
        <f>B86*1.2/100</f>
        <v>1.2</v>
      </c>
      <c r="E86">
        <f>B86*2.63/100</f>
        <v>2.63</v>
      </c>
      <c r="F86">
        <f>B86*10/100</f>
        <v>10</v>
      </c>
      <c r="G86">
        <f>B86*0.27/100</f>
        <v>0.27</v>
      </c>
      <c r="H86">
        <f>B86*11/100</f>
        <v>11</v>
      </c>
      <c r="I86">
        <f>B86*24/100</f>
        <v>24</v>
      </c>
      <c r="J86">
        <f>B86*237/100</f>
        <v>237</v>
      </c>
      <c r="K86">
        <f>B86*5/100</f>
        <v>5</v>
      </c>
      <c r="L86">
        <f>B86*0.17/100</f>
        <v>0.17</v>
      </c>
      <c r="M86">
        <f>B86*0.059/100</f>
        <v>5.8999999999999997E-2</v>
      </c>
      <c r="N86">
        <f>B86*0.114/100</f>
        <v>0.114</v>
      </c>
      <c r="O86">
        <f>B86*0/100</f>
        <v>0</v>
      </c>
      <c r="P86">
        <f>B86*13.7/100</f>
        <v>13.7</v>
      </c>
      <c r="Q86">
        <f>B86*0.037/100</f>
        <v>3.6999999999999998E-2</v>
      </c>
      <c r="R86">
        <f>B86*0.019/100</f>
        <v>1.9E-2</v>
      </c>
      <c r="S86">
        <f>B86*0.594/100</f>
        <v>0.59399999999999997</v>
      </c>
      <c r="T86">
        <f>B86*6.7/100</f>
        <v>6.7</v>
      </c>
      <c r="U86">
        <f>B86*0.089/100</f>
        <v>8.900000000000001E-2</v>
      </c>
      <c r="V86">
        <f>B86*0.08/100</f>
        <v>0.08</v>
      </c>
      <c r="W86">
        <f>B86*15/100</f>
        <v>15</v>
      </c>
      <c r="X86">
        <f>B86*42/100</f>
        <v>42</v>
      </c>
    </row>
    <row r="87" spans="1:30">
      <c r="A87" s="8" t="s">
        <v>112</v>
      </c>
      <c r="B87" s="10">
        <v>100</v>
      </c>
      <c r="C87">
        <f>B87*0.69/100</f>
        <v>0.69</v>
      </c>
      <c r="D87">
        <f>B87*1.6/100</f>
        <v>1.6</v>
      </c>
      <c r="E87">
        <f>B87*1.83/100</f>
        <v>1.83</v>
      </c>
      <c r="F87" s="2">
        <f>B87*40/100</f>
        <v>40</v>
      </c>
      <c r="G87">
        <f>B87*0.2/100</f>
        <v>0.2</v>
      </c>
      <c r="H87">
        <f>B87*11/100</f>
        <v>11</v>
      </c>
      <c r="I87">
        <f>B87*24/100</f>
        <v>24</v>
      </c>
      <c r="J87">
        <f>B87*260/100</f>
        <v>260</v>
      </c>
      <c r="K87" s="2">
        <f>B87*80/100</f>
        <v>80</v>
      </c>
      <c r="L87">
        <f>B87*0.13/100</f>
        <v>0.13</v>
      </c>
      <c r="M87">
        <f>B87*0.035/100</f>
        <v>3.5000000000000003E-2</v>
      </c>
      <c r="N87">
        <f>B87*0.103/100</f>
        <v>0.10299999999999999</v>
      </c>
      <c r="O87">
        <f>B87*0.4/100</f>
        <v>0.4</v>
      </c>
      <c r="P87">
        <f>B87*3.1/100</f>
        <v>3.1</v>
      </c>
      <c r="Q87">
        <f>B87*0.021/100</f>
        <v>2.1000000000000001E-2</v>
      </c>
      <c r="R87">
        <f>B87*0.057/100</f>
        <v>5.7000000000000002E-2</v>
      </c>
      <c r="S87">
        <f>B87*0.32/100</f>
        <v>0.32</v>
      </c>
      <c r="T87">
        <f>B87*6.1/100</f>
        <v>6.1</v>
      </c>
      <c r="U87">
        <f>B87*0.246/100</f>
        <v>0.24600000000000002</v>
      </c>
      <c r="V87">
        <f>B87*0.074/100</f>
        <v>7.3999999999999996E-2</v>
      </c>
      <c r="W87">
        <f>B87*36/100</f>
        <v>36</v>
      </c>
      <c r="X87">
        <f>B87*22/100</f>
        <v>22</v>
      </c>
    </row>
    <row r="88" spans="1:30">
      <c r="A88" s="8" t="s">
        <v>113</v>
      </c>
      <c r="B88" s="10">
        <v>100</v>
      </c>
      <c r="C88">
        <f>B88*0.68/100</f>
        <v>0.68</v>
      </c>
      <c r="D88">
        <f>B88*1.6/100</f>
        <v>1.6</v>
      </c>
      <c r="E88">
        <f>B88*1.86/100</f>
        <v>1.86</v>
      </c>
      <c r="F88">
        <f>B88*25/100</f>
        <v>25</v>
      </c>
      <c r="G88">
        <f>B88*0.34/100</f>
        <v>0.34</v>
      </c>
      <c r="H88">
        <f>B88*10/100</f>
        <v>10</v>
      </c>
      <c r="I88">
        <f>B88*20/100</f>
        <v>20</v>
      </c>
      <c r="J88">
        <f>B88*233/100</f>
        <v>233</v>
      </c>
      <c r="K88">
        <f>B88*39/100</f>
        <v>39</v>
      </c>
      <c r="L88">
        <f>B88*0.28/100</f>
        <v>0.28000000000000003</v>
      </c>
      <c r="M88">
        <f>B88*0.05/100</f>
        <v>0.05</v>
      </c>
      <c r="N88">
        <f>B88*0.069/100</f>
        <v>6.9000000000000006E-2</v>
      </c>
      <c r="O88">
        <f>B88*0.6/100</f>
        <v>0.6</v>
      </c>
      <c r="P88">
        <f>B88*14.8/100</f>
        <v>14.8</v>
      </c>
      <c r="Q88">
        <f>B88*0.012/100</f>
        <v>1.2E-2</v>
      </c>
      <c r="R88">
        <f>B88*0.039/100</f>
        <v>3.9E-2</v>
      </c>
      <c r="S88">
        <f>B88*0.254/100</f>
        <v>0.254</v>
      </c>
      <c r="T88">
        <f>B88*6.5/100</f>
        <v>6.5</v>
      </c>
      <c r="U88">
        <f>B88*0.165/100</f>
        <v>0.16500000000000001</v>
      </c>
      <c r="V88">
        <f>B88*0.071/100</f>
        <v>7.0999999999999994E-2</v>
      </c>
      <c r="W88">
        <f>B88*25/100</f>
        <v>25</v>
      </c>
      <c r="X88">
        <f>B88*0/100</f>
        <v>0</v>
      </c>
    </row>
    <row r="89" spans="1:30">
      <c r="A89" s="9" t="s">
        <v>114</v>
      </c>
      <c r="B89" s="10">
        <v>100</v>
      </c>
      <c r="C89">
        <f>B89*0.65/100</f>
        <v>0.65</v>
      </c>
      <c r="D89">
        <f>B89*0.5/100</f>
        <v>0.5</v>
      </c>
      <c r="E89">
        <f>B89*1.67/100</f>
        <v>1.67</v>
      </c>
      <c r="F89">
        <f>B89*16/100</f>
        <v>16</v>
      </c>
      <c r="G89">
        <f>B89*0.28/100</f>
        <v>0.28000000000000003</v>
      </c>
      <c r="H89">
        <f>B89*13/100</f>
        <v>13</v>
      </c>
      <c r="I89">
        <f>B89*24/100</f>
        <v>24</v>
      </c>
      <c r="J89">
        <f>B89*147/100</f>
        <v>147</v>
      </c>
      <c r="K89">
        <f>B89*2/100</f>
        <v>2</v>
      </c>
      <c r="L89">
        <f>B89*0.2/100</f>
        <v>0.2</v>
      </c>
      <c r="M89">
        <f>B89*0.041/100</f>
        <v>4.1000000000000009E-2</v>
      </c>
      <c r="N89">
        <f>B89*0.079/100</f>
        <v>7.9000000000000001E-2</v>
      </c>
      <c r="O89">
        <f>B89*0.3/100</f>
        <v>0.3</v>
      </c>
      <c r="P89">
        <f>B89*2.8/100</f>
        <v>2.8</v>
      </c>
      <c r="Q89">
        <f>B89*0.027/100</f>
        <v>2.7000000000000003E-2</v>
      </c>
      <c r="R89">
        <f>B89*0.033/100</f>
        <v>3.3000000000000002E-2</v>
      </c>
      <c r="S89">
        <f>B89*0.098/100</f>
        <v>9.8000000000000004E-2</v>
      </c>
      <c r="T89">
        <f>B89*6/100</f>
        <v>6</v>
      </c>
      <c r="U89">
        <f>B89*0.259/100</f>
        <v>0.25900000000000001</v>
      </c>
      <c r="V89">
        <f>B89*0.04/100</f>
        <v>0.04</v>
      </c>
      <c r="W89">
        <f>B89*7/100</f>
        <v>7</v>
      </c>
      <c r="X89">
        <f>B89*5/100</f>
        <v>5</v>
      </c>
      <c r="Z89" s="4"/>
    </row>
    <row r="90" spans="1:30">
      <c r="A90" s="8" t="s">
        <v>115</v>
      </c>
      <c r="B90" s="10">
        <v>100</v>
      </c>
      <c r="C90">
        <f>B90*0.6/100</f>
        <v>0.6</v>
      </c>
      <c r="D90">
        <f>B90*1.6/100</f>
        <v>1.6</v>
      </c>
      <c r="E90">
        <f>B90*2.5/100</f>
        <v>2.5</v>
      </c>
      <c r="F90">
        <f>B90*27/100</f>
        <v>27</v>
      </c>
      <c r="G90">
        <f>B90*0.4/100</f>
        <v>0.4</v>
      </c>
      <c r="H90">
        <f>B90*16/100</f>
        <v>16</v>
      </c>
      <c r="I90">
        <f>B90*23/100</f>
        <v>23</v>
      </c>
      <c r="J90">
        <f>B90*227/100</f>
        <v>227</v>
      </c>
      <c r="K90">
        <f>B90*21/100</f>
        <v>21</v>
      </c>
      <c r="L90">
        <f>B90*0.15/100</f>
        <v>0.15</v>
      </c>
      <c r="M90">
        <f>B90*0.115/100</f>
        <v>0.115</v>
      </c>
      <c r="N90">
        <f>B90*0.038/100</f>
        <v>3.7999999999999999E-2</v>
      </c>
      <c r="O90">
        <f>B90*0.7/100</f>
        <v>0.7</v>
      </c>
      <c r="P90">
        <f>B90*22/100</f>
        <v>22</v>
      </c>
      <c r="Q90">
        <f>B90*0.02/100</f>
        <v>0.02</v>
      </c>
      <c r="R90">
        <f>B90*0.02/100</f>
        <v>0.02</v>
      </c>
      <c r="S90">
        <f>B90*0.2/100</f>
        <v>0.2</v>
      </c>
      <c r="T90">
        <f>B90*7.3/100</f>
        <v>7.3</v>
      </c>
      <c r="U90">
        <f>B90*0.138/100</f>
        <v>0.13800000000000001</v>
      </c>
      <c r="V90">
        <f>B90*0.046/100</f>
        <v>4.5999999999999999E-2</v>
      </c>
      <c r="W90">
        <f>B90*28/100</f>
        <v>28</v>
      </c>
      <c r="X90">
        <f>B90*0/100</f>
        <v>0</v>
      </c>
    </row>
    <row r="91" spans="1:30">
      <c r="B91" s="10"/>
    </row>
    <row r="92" spans="1:30">
      <c r="B92" s="10"/>
    </row>
    <row r="93" spans="1:30">
      <c r="A93" s="8" t="s">
        <v>116</v>
      </c>
      <c r="B93" s="10">
        <v>100</v>
      </c>
      <c r="C93" s="3">
        <f>B93*25.8/100</f>
        <v>25.8</v>
      </c>
      <c r="D93">
        <f>B93*8.5/100</f>
        <v>8.5</v>
      </c>
      <c r="E93">
        <f>B93*3.97/100</f>
        <v>3.97</v>
      </c>
      <c r="F93">
        <f>B93*92/100</f>
        <v>92</v>
      </c>
      <c r="G93" s="6">
        <f>B93*4.58/100</f>
        <v>4.58</v>
      </c>
      <c r="H93">
        <f>B93*168/100</f>
        <v>168</v>
      </c>
      <c r="I93">
        <f>B93*376/100</f>
        <v>376</v>
      </c>
      <c r="J93" s="2">
        <f>B93*705/100</f>
        <v>705</v>
      </c>
      <c r="K93">
        <f>B93*18/100</f>
        <v>18</v>
      </c>
      <c r="L93">
        <f>B93*3.27/100</f>
        <v>3.27</v>
      </c>
      <c r="M93">
        <f>B93*1.144/100</f>
        <v>1.1439999999999999</v>
      </c>
      <c r="N93" s="2">
        <f>B93*1.934/100</f>
        <v>1.9340000000000002</v>
      </c>
      <c r="O93">
        <f>B93*7.2/100</f>
        <v>7.2</v>
      </c>
      <c r="P93">
        <f>B93*0/100</f>
        <v>0</v>
      </c>
      <c r="Q93" s="2">
        <f>B93*0.64/100</f>
        <v>0.64</v>
      </c>
      <c r="R93">
        <f>B93*0.135/100</f>
        <v>0.13500000000000001</v>
      </c>
      <c r="S93" s="4">
        <f>B93*12.066/100</f>
        <v>12.066000000000001</v>
      </c>
      <c r="T93" s="2">
        <f>B93*52.5/100</f>
        <v>52.5</v>
      </c>
      <c r="U93" s="3">
        <f>B93*1.767/100</f>
        <v>1.7669999999999999</v>
      </c>
      <c r="V93">
        <f>B93*0.348/100</f>
        <v>0.34799999999999998</v>
      </c>
      <c r="W93" s="4">
        <f>B93*240/100</f>
        <v>240</v>
      </c>
      <c r="X93">
        <f>B93*0/100</f>
        <v>0</v>
      </c>
      <c r="Y93" s="2">
        <f>B93*8.33/100</f>
        <v>8.33</v>
      </c>
      <c r="Z93">
        <f>B93*0/100</f>
        <v>0</v>
      </c>
      <c r="AA93" s="2">
        <f>B93*49.24/100</f>
        <v>49.24</v>
      </c>
      <c r="AB93">
        <f>B93*6.834/100</f>
        <v>6.8339999999999996</v>
      </c>
      <c r="AC93">
        <f>B93*24.429/100</f>
        <v>24.428999999999995</v>
      </c>
      <c r="AD93">
        <f>B93*15.559/100</f>
        <v>15.558999999999999</v>
      </c>
    </row>
    <row r="94" spans="1:30">
      <c r="A94" s="8" t="s">
        <v>117</v>
      </c>
      <c r="B94" s="10">
        <v>100</v>
      </c>
      <c r="C94" s="4">
        <f>B94*30.23/100</f>
        <v>30.23</v>
      </c>
      <c r="D94">
        <f>B94*6/100</f>
        <v>6</v>
      </c>
      <c r="E94">
        <f>B94*1.4/100</f>
        <v>1.4</v>
      </c>
      <c r="F94">
        <f>B94*46/100</f>
        <v>46</v>
      </c>
      <c r="G94" s="3">
        <f>B94*8.82/100</f>
        <v>8.82</v>
      </c>
      <c r="H94" s="4">
        <f>B94*592/100</f>
        <v>592</v>
      </c>
      <c r="I94">
        <f>B94*1233/100</f>
        <v>1233</v>
      </c>
      <c r="J94" s="3">
        <f>B94*809/100</f>
        <v>809</v>
      </c>
      <c r="K94">
        <f>B94*7/100</f>
        <v>7</v>
      </c>
      <c r="L94" s="5">
        <f>B94*7.81/100</f>
        <v>7.81</v>
      </c>
      <c r="M94">
        <f>B94*1.343/100</f>
        <v>1.3430000000000002</v>
      </c>
      <c r="N94" s="5">
        <f>B94*4.543/100</f>
        <v>4.5430000000000001</v>
      </c>
      <c r="O94">
        <f>B94*9.4/100</f>
        <v>9.4</v>
      </c>
      <c r="P94">
        <f>B94*1.9/100</f>
        <v>1.9</v>
      </c>
      <c r="Q94">
        <f>B94*0.273/100</f>
        <v>0.27300000000000002</v>
      </c>
      <c r="R94">
        <f>B94*0.153/100</f>
        <v>0.153</v>
      </c>
      <c r="S94" s="2">
        <f>B94*4.987/100</f>
        <v>4.9870000000000001</v>
      </c>
      <c r="T94" s="2">
        <f>B94*63/100</f>
        <v>63</v>
      </c>
      <c r="U94" s="2">
        <f>B94*0.75/100</f>
        <v>0.75</v>
      </c>
      <c r="V94">
        <f>B94*0.143/100</f>
        <v>0.14299999999999999</v>
      </c>
      <c r="W94" s="6">
        <f>B94*58/100</f>
        <v>58</v>
      </c>
      <c r="X94">
        <f>B94*1/100</f>
        <v>1</v>
      </c>
      <c r="Y94">
        <f>B94*2.18/100</f>
        <v>2.1800000000000002</v>
      </c>
      <c r="Z94">
        <f>B94*7.3/100</f>
        <v>7.3</v>
      </c>
      <c r="AA94" s="2">
        <f>B94*49.05/100</f>
        <v>49.05</v>
      </c>
      <c r="AB94">
        <f>B94*8.659/100</f>
        <v>8.6590000000000007</v>
      </c>
      <c r="AC94">
        <f>B94*16.242/100</f>
        <v>16.242000000000001</v>
      </c>
      <c r="AD94">
        <f>B94*20.976/100</f>
        <v>20.975999999999999</v>
      </c>
    </row>
    <row r="95" spans="1:30">
      <c r="A95" s="8" t="s">
        <v>118</v>
      </c>
      <c r="B95" s="10">
        <v>100</v>
      </c>
      <c r="C95" s="2">
        <f>B95*21.22/100</f>
        <v>21.22</v>
      </c>
      <c r="D95" s="2">
        <f>B95*12.2/100</f>
        <v>12.2</v>
      </c>
      <c r="E95">
        <f>B95*3.89/100</f>
        <v>3.89</v>
      </c>
      <c r="F95" s="2">
        <f>B95*264/100</f>
        <v>264</v>
      </c>
      <c r="G95">
        <f>B95*3.72/100</f>
        <v>3.72</v>
      </c>
      <c r="H95" s="2">
        <f>B95*268/100</f>
        <v>268</v>
      </c>
      <c r="I95">
        <f>B95*484/100</f>
        <v>484</v>
      </c>
      <c r="J95" s="2">
        <f>B95*705/100</f>
        <v>705</v>
      </c>
      <c r="K95">
        <f>B95*1/100</f>
        <v>1</v>
      </c>
      <c r="L95">
        <f>B95*3.08/100</f>
        <v>3.08</v>
      </c>
      <c r="M95">
        <f>B95*0.996/100</f>
        <v>0.996</v>
      </c>
      <c r="N95" s="3">
        <f>B95*2.285/100</f>
        <v>2.2850000000000001</v>
      </c>
      <c r="O95">
        <f>B95*2.5/100</f>
        <v>2.5</v>
      </c>
      <c r="P95">
        <f>B95*0/100</f>
        <v>0</v>
      </c>
      <c r="Q95">
        <f>B95*0.211/100</f>
        <v>0.21099999999999997</v>
      </c>
      <c r="R95" s="5">
        <f>B95*1.014/100</f>
        <v>1.014</v>
      </c>
      <c r="S95" s="2">
        <f>B95*3.385/100</f>
        <v>3.3849999999999998</v>
      </c>
      <c r="T95" s="2">
        <f>B95*52.1/100</f>
        <v>52.1</v>
      </c>
      <c r="U95">
        <f>B95*0.469/100</f>
        <v>0.46899999999999997</v>
      </c>
      <c r="V95">
        <f>B95*0.143/100</f>
        <v>0.14299999999999999</v>
      </c>
      <c r="W95">
        <f>B95*50/100</f>
        <v>50</v>
      </c>
      <c r="X95">
        <f>B95*0/100</f>
        <v>0</v>
      </c>
      <c r="Y95" s="4">
        <f>B95*26.22/100</f>
        <v>26.22</v>
      </c>
      <c r="Z95">
        <f>B95*0/100</f>
        <v>0</v>
      </c>
      <c r="AA95" s="2">
        <f>B95*49.42/100</f>
        <v>49.42</v>
      </c>
      <c r="AB95">
        <f>B95*3.731/100</f>
        <v>3.7309999999999999</v>
      </c>
      <c r="AC95">
        <f>B95*30.889/100</f>
        <v>30.888999999999999</v>
      </c>
      <c r="AD95">
        <f>B95*12.07/100</f>
        <v>12.07</v>
      </c>
    </row>
    <row r="96" spans="1:30">
      <c r="A96" s="8" t="s">
        <v>119</v>
      </c>
      <c r="B96" s="10">
        <v>100</v>
      </c>
      <c r="C96" s="2">
        <f>B96*20.78/100</f>
        <v>20.78</v>
      </c>
      <c r="D96">
        <f>B96*8.6/100</f>
        <v>8.6</v>
      </c>
      <c r="E96">
        <f>B96*2.62/100</f>
        <v>2.62</v>
      </c>
      <c r="F96">
        <f>B96*78/100</f>
        <v>78</v>
      </c>
      <c r="G96" s="2">
        <f>B96*5.25/100</f>
        <v>5.25</v>
      </c>
      <c r="H96" s="5">
        <f>B96*325/100</f>
        <v>325</v>
      </c>
      <c r="I96">
        <f>B96*660/100</f>
        <v>660</v>
      </c>
      <c r="J96" s="2">
        <f>B96*645/100</f>
        <v>645</v>
      </c>
      <c r="K96">
        <f>B96*9/100</f>
        <v>9</v>
      </c>
      <c r="L96" s="3">
        <f>B96*5/100</f>
        <v>5</v>
      </c>
      <c r="M96" s="2">
        <f>B96*1.8/100</f>
        <v>1.8</v>
      </c>
      <c r="N96" s="2">
        <f>B96*1.95/100</f>
        <v>1.95</v>
      </c>
      <c r="O96">
        <f>B96*53/100</f>
        <v>53</v>
      </c>
      <c r="P96">
        <f>B96*1.4/100</f>
        <v>1.4</v>
      </c>
      <c r="Q96" s="4">
        <f>B96*1.48/100</f>
        <v>1.48</v>
      </c>
      <c r="R96" s="2">
        <f>B96*0.355/100</f>
        <v>0.35499999999999998</v>
      </c>
      <c r="S96" s="3">
        <f>B96*8.335/100</f>
        <v>8.3350000000000009</v>
      </c>
      <c r="T96" s="2">
        <f>B96*55.1/100</f>
        <v>55.1</v>
      </c>
      <c r="U96" s="3">
        <f>B96*1.13/100</f>
        <v>1.1299999999999999</v>
      </c>
      <c r="V96" s="5">
        <f>B96*1.345/100</f>
        <v>1.345</v>
      </c>
      <c r="W96" s="4">
        <f>B96*227/100</f>
        <v>227</v>
      </c>
      <c r="X96">
        <f>B96*3/100</f>
        <v>3</v>
      </c>
      <c r="Y96" s="4">
        <f>B96*35.17/100</f>
        <v>35.17</v>
      </c>
      <c r="Z96">
        <f>B96*0/100</f>
        <v>0</v>
      </c>
      <c r="AA96" s="2">
        <f>B96*51.46/100</f>
        <v>51.46</v>
      </c>
      <c r="AB96">
        <f>B96*4.455/100</f>
        <v>4.4550000000000001</v>
      </c>
      <c r="AC96">
        <f>B96*18.528/100</f>
        <v>18.527999999999999</v>
      </c>
      <c r="AD96">
        <f>B96*23.137/100</f>
        <v>23.136999999999997</v>
      </c>
    </row>
    <row r="97" spans="1:30">
      <c r="A97" s="8" t="s">
        <v>120</v>
      </c>
      <c r="B97" s="10">
        <v>100</v>
      </c>
      <c r="C97" s="3">
        <f>B97*20.45/100</f>
        <v>20.45</v>
      </c>
      <c r="D97" s="2">
        <f>B97*11.6/100</f>
        <v>11.6</v>
      </c>
      <c r="E97">
        <f>B97*0.48/100</f>
        <v>0.48</v>
      </c>
      <c r="F97">
        <f>B97*60/100</f>
        <v>60</v>
      </c>
      <c r="G97" s="2">
        <f>B97*6.36/100</f>
        <v>6.36</v>
      </c>
      <c r="H97" s="5">
        <f>B97*345/100</f>
        <v>345</v>
      </c>
      <c r="I97">
        <f>B97*667/100</f>
        <v>667</v>
      </c>
      <c r="J97">
        <f>B97*370/100</f>
        <v>370</v>
      </c>
      <c r="K97" s="2">
        <f>B97*47/100</f>
        <v>47</v>
      </c>
      <c r="L97" s="5">
        <f>B97*6.73/100</f>
        <v>6.73</v>
      </c>
      <c r="M97">
        <f>B97*1.4/100</f>
        <v>1.4</v>
      </c>
      <c r="N97" s="2">
        <f>B97*1.44/100</f>
        <v>1.44</v>
      </c>
      <c r="O97" s="2">
        <f>B97*34.4/100</f>
        <v>34.4</v>
      </c>
      <c r="P97">
        <f>B97*0/100</f>
        <v>0</v>
      </c>
      <c r="Q97" s="2">
        <f>B97*0.699/100</f>
        <v>0.69899999999999995</v>
      </c>
      <c r="R97">
        <f>B97*0.09/100</f>
        <v>0.09</v>
      </c>
      <c r="S97" s="2">
        <f>B97*5.8/100</f>
        <v>5.8</v>
      </c>
      <c r="T97">
        <f>B97*25.6/100</f>
        <v>25.6</v>
      </c>
      <c r="U97">
        <f>B97*0.29/100</f>
        <v>0.28999999999999998</v>
      </c>
      <c r="V97">
        <f>B97*0.4/100</f>
        <v>0.4</v>
      </c>
      <c r="W97" s="3">
        <f>B97*115/100</f>
        <v>115</v>
      </c>
      <c r="X97">
        <f>B97*3/100</f>
        <v>3</v>
      </c>
      <c r="Y97">
        <f>B97*1.68/100</f>
        <v>1.68</v>
      </c>
      <c r="Z97">
        <f>B97*0/100</f>
        <v>0</v>
      </c>
      <c r="AA97" s="3">
        <f>B97*61.21/100</f>
        <v>61.21</v>
      </c>
      <c r="AB97">
        <f>B97*9.055/100</f>
        <v>9.0549999999999997</v>
      </c>
      <c r="AC97">
        <f>B97*23.924/100</f>
        <v>23.923999999999999</v>
      </c>
      <c r="AD97">
        <f>B97*25.491/100</f>
        <v>25.491</v>
      </c>
    </row>
    <row r="98" spans="1:30">
      <c r="A98" s="8" t="s">
        <v>121</v>
      </c>
      <c r="B98" s="10">
        <v>100</v>
      </c>
      <c r="C98" s="2">
        <f>B98*20.27/100</f>
        <v>20.27</v>
      </c>
      <c r="D98" s="2">
        <f>B98*10.3/100</f>
        <v>10.3</v>
      </c>
      <c r="E98">
        <f>B98*7.66/100</f>
        <v>7.66</v>
      </c>
      <c r="F98">
        <f>B98*105/100</f>
        <v>105</v>
      </c>
      <c r="G98">
        <f>B98*3.92/100</f>
        <v>3.92</v>
      </c>
      <c r="H98">
        <f>B98*121/100</f>
        <v>121</v>
      </c>
      <c r="I98">
        <f>B98*490/100</f>
        <v>490</v>
      </c>
      <c r="J98" s="5">
        <f>B98*1025/100</f>
        <v>1025</v>
      </c>
      <c r="K98">
        <f>B98*1/100</f>
        <v>1</v>
      </c>
      <c r="L98">
        <f>B98*2.2/100</f>
        <v>2.2000000000000002</v>
      </c>
      <c r="M98">
        <f>B98*1.3/100</f>
        <v>1.3</v>
      </c>
      <c r="N98" s="2">
        <f>B98*1.2/100</f>
        <v>1.2</v>
      </c>
      <c r="O98">
        <f>B98*7/100</f>
        <v>7</v>
      </c>
      <c r="P98">
        <f>B98*5.6/100</f>
        <v>5.6</v>
      </c>
      <c r="Q98" s="2">
        <f>B98*0.87/100</f>
        <v>0.87</v>
      </c>
      <c r="R98">
        <f>B98*0.16/100</f>
        <v>0.16</v>
      </c>
      <c r="S98">
        <f>B98*1.3/100</f>
        <v>1.3</v>
      </c>
      <c r="U98">
        <f>B98*0.52/100</f>
        <v>0.52</v>
      </c>
      <c r="V98" s="4">
        <f>B98*1.7/100</f>
        <v>1.7</v>
      </c>
      <c r="W98">
        <f>B98*51/100</f>
        <v>51</v>
      </c>
      <c r="X98">
        <f>B98*21/100</f>
        <v>21</v>
      </c>
      <c r="Y98">
        <f>B98*2.3/100</f>
        <v>2.2999999999999998</v>
      </c>
      <c r="AA98">
        <f>B98*45.39/100</f>
        <v>45.39</v>
      </c>
      <c r="AB98">
        <f>B98*5.556/100</f>
        <v>5.556</v>
      </c>
      <c r="AC98">
        <f>B98*23.82/100</f>
        <v>23.82</v>
      </c>
      <c r="AD98">
        <f>B98*13.744/100</f>
        <v>13.744000000000002</v>
      </c>
    </row>
    <row r="99" spans="1:30">
      <c r="A99" s="8" t="s">
        <v>122</v>
      </c>
      <c r="B99" s="10">
        <v>100</v>
      </c>
      <c r="C99" s="2">
        <f>B99*18.29/100</f>
        <v>18.29</v>
      </c>
      <c r="D99" s="4">
        <f>B99*27.3/100</f>
        <v>27.3</v>
      </c>
      <c r="E99">
        <f>B99*1.55/100</f>
        <v>1.55</v>
      </c>
      <c r="F99" s="2">
        <f>B99*255/100</f>
        <v>255</v>
      </c>
      <c r="G99" s="2">
        <f>B99*5.73/100</f>
        <v>5.73</v>
      </c>
      <c r="H99" s="5">
        <f>B99*392/100</f>
        <v>392</v>
      </c>
      <c r="I99">
        <f>B99*642/100</f>
        <v>642</v>
      </c>
      <c r="J99" s="3">
        <f>B99*813/100</f>
        <v>813</v>
      </c>
      <c r="K99">
        <f>B99*30/100</f>
        <v>30</v>
      </c>
      <c r="L99" s="2">
        <f>B99*4.34/100</f>
        <v>4.34</v>
      </c>
      <c r="M99">
        <f>B99*1.22/100</f>
        <v>1.22</v>
      </c>
      <c r="N99" s="3">
        <f>B99*2.482/100</f>
        <v>2.4820000000000002</v>
      </c>
      <c r="O99" s="2">
        <f>B99*25.4/100</f>
        <v>25.4</v>
      </c>
      <c r="P99">
        <f>B99*0.6/100</f>
        <v>0.6</v>
      </c>
      <c r="Q99" s="4">
        <f>B99*1.644/100</f>
        <v>1.6439999999999997</v>
      </c>
      <c r="R99">
        <f>B99*0.161/100</f>
        <v>0.161</v>
      </c>
      <c r="S99" s="2">
        <f>B99*3.08/100</f>
        <v>3.08</v>
      </c>
      <c r="T99" s="3">
        <f>B99*78.7/100</f>
        <v>78.7</v>
      </c>
      <c r="U99" s="2">
        <f>B99*0.985/100</f>
        <v>0.98499999999999999</v>
      </c>
      <c r="V99">
        <f>B99*0.473/100</f>
        <v>0.47299999999999998</v>
      </c>
      <c r="W99" s="2">
        <f>B99*87/100</f>
        <v>87</v>
      </c>
      <c r="X99">
        <f>B99*0/100</f>
        <v>0</v>
      </c>
      <c r="Y99">
        <f>B99*0.31/100</f>
        <v>0.31</v>
      </c>
      <c r="Z99">
        <f>B99*4.3/100</f>
        <v>4.3</v>
      </c>
      <c r="AA99">
        <f>B99*42.16/100</f>
        <v>42.16</v>
      </c>
      <c r="AB99">
        <f>B99*3.663/100</f>
        <v>3.6629999999999994</v>
      </c>
      <c r="AC99">
        <f>B99*7.527/100</f>
        <v>7.5270000000000001</v>
      </c>
      <c r="AD99">
        <f>B99*28.73/100</f>
        <v>28.73</v>
      </c>
    </row>
    <row r="100" spans="1:30">
      <c r="A100" s="8" t="s">
        <v>123</v>
      </c>
      <c r="B100" s="10">
        <v>100</v>
      </c>
      <c r="C100" s="2">
        <f>B100*18.22/100</f>
        <v>18.22</v>
      </c>
      <c r="D100">
        <f>B100*3.3/100</f>
        <v>3.3</v>
      </c>
      <c r="E100">
        <f>B100*5.91/100</f>
        <v>5.91</v>
      </c>
      <c r="F100">
        <f>B100*37/100</f>
        <v>37</v>
      </c>
      <c r="G100" s="2">
        <f>B100*6.68/100</f>
        <v>6.68</v>
      </c>
      <c r="H100" s="2">
        <f>B100*292/100</f>
        <v>292</v>
      </c>
      <c r="I100">
        <f>B100*593/100</f>
        <v>593</v>
      </c>
      <c r="J100" s="2">
        <f>B100*660/100</f>
        <v>660</v>
      </c>
      <c r="K100">
        <f>B100*12/100</f>
        <v>12</v>
      </c>
      <c r="L100" s="3">
        <f>B100*5.78/100</f>
        <v>5.78</v>
      </c>
      <c r="M100" s="5">
        <f>B100*2.195/100</f>
        <v>2.1949999999999998</v>
      </c>
      <c r="N100" s="2">
        <f>B100*1.655/100</f>
        <v>1.655</v>
      </c>
      <c r="O100" s="2">
        <f>B100*19.9/100</f>
        <v>19.899999999999999</v>
      </c>
      <c r="P100">
        <f>B100*0.5/100</f>
        <v>0.5</v>
      </c>
      <c r="Q100">
        <f>B100*0.423/100</f>
        <v>0.42299999999999999</v>
      </c>
      <c r="R100">
        <f>B100*0.058/100</f>
        <v>5.800000000000001E-2</v>
      </c>
      <c r="S100">
        <f>B100*1.062/100</f>
        <v>1.0620000000000001</v>
      </c>
      <c r="U100" s="2">
        <f>B100*0.864/100</f>
        <v>0.8640000000000001</v>
      </c>
      <c r="V100">
        <f>B100*0.417/100</f>
        <v>0.41699999999999998</v>
      </c>
      <c r="W100">
        <f>B100*25/100</f>
        <v>25</v>
      </c>
      <c r="X100">
        <f>B100*0/100</f>
        <v>0</v>
      </c>
      <c r="Y100">
        <f>B100*0.9/100</f>
        <v>0.9</v>
      </c>
      <c r="Z100" s="2">
        <f>B100*34.1/100</f>
        <v>34.1</v>
      </c>
      <c r="AA100">
        <f>B100*43.85/100</f>
        <v>43.85</v>
      </c>
      <c r="AB100">
        <f>B100*7.783/100</f>
        <v>7.7830000000000004</v>
      </c>
      <c r="AC100">
        <f>B100*23.797/100</f>
        <v>23.797000000000004</v>
      </c>
      <c r="AD100">
        <f>B100*7.845/100</f>
        <v>7.8449999999999998</v>
      </c>
    </row>
    <row r="101" spans="1:30">
      <c r="A101" s="8" t="s">
        <v>124</v>
      </c>
      <c r="B101" s="10">
        <v>100</v>
      </c>
      <c r="C101" s="2">
        <f>B101*17.99/100</f>
        <v>17.989999999999998</v>
      </c>
      <c r="D101" s="3">
        <f>B101*19.5/100</f>
        <v>19.5</v>
      </c>
      <c r="E101">
        <f>B101*2.99/100</f>
        <v>2.99</v>
      </c>
      <c r="F101" s="4">
        <f>B101*1438/100</f>
        <v>1438</v>
      </c>
      <c r="G101" s="5">
        <f>B101*9.76/100</f>
        <v>9.76</v>
      </c>
      <c r="H101" s="5">
        <f>B101*347/100</f>
        <v>347</v>
      </c>
      <c r="I101">
        <f>B101*870/100</f>
        <v>870</v>
      </c>
      <c r="J101" s="3">
        <f>B101*719/100</f>
        <v>719</v>
      </c>
      <c r="K101">
        <f>B101*26/100</f>
        <v>26</v>
      </c>
      <c r="L101" s="5">
        <f>B101*7.9/100</f>
        <v>7.9</v>
      </c>
      <c r="M101" s="2">
        <f>B101*1.627/100</f>
        <v>1.6269999999999998</v>
      </c>
      <c r="N101" s="4">
        <f>B101*6.707/100</f>
        <v>6.706999999999999</v>
      </c>
      <c r="O101">
        <f>B101*13.5/100</f>
        <v>13.5</v>
      </c>
      <c r="P101">
        <f>B101*1/100</f>
        <v>1</v>
      </c>
      <c r="Q101" s="3">
        <f>B101*0.854/100</f>
        <v>0.85399999999999987</v>
      </c>
      <c r="R101">
        <f>B101*0.1/100</f>
        <v>0.1</v>
      </c>
      <c r="S101">
        <f>B101*0.896/100</f>
        <v>0.89600000000000013</v>
      </c>
      <c r="T101">
        <f>B101*8.8/100</f>
        <v>8.8000000000000007</v>
      </c>
      <c r="U101">
        <f>B101*0.324/100</f>
        <v>0.32400000000000001</v>
      </c>
      <c r="V101">
        <f>B101*0.247/100</f>
        <v>0.247</v>
      </c>
      <c r="W101" s="2">
        <f>B101*82/100</f>
        <v>82</v>
      </c>
      <c r="X101">
        <f>B101*0/100</f>
        <v>0</v>
      </c>
      <c r="Y101">
        <f>B101*1.77/100</f>
        <v>1.77</v>
      </c>
      <c r="Z101">
        <f>B101*0/100</f>
        <v>0</v>
      </c>
      <c r="AA101">
        <f>B101*41.56/100</f>
        <v>41.56</v>
      </c>
      <c r="AB101">
        <f>B101*4.517/100</f>
        <v>4.5170000000000003</v>
      </c>
      <c r="AC101">
        <f>B101*5.982/100</f>
        <v>5.9820000000000002</v>
      </c>
      <c r="AD101">
        <f>B101*28.569/100</f>
        <v>28.569000000000003</v>
      </c>
    </row>
    <row r="102" spans="1:30">
      <c r="A102" s="8" t="s">
        <v>125</v>
      </c>
      <c r="B102" s="10">
        <v>100</v>
      </c>
      <c r="C102" s="2">
        <f>B102*17.73/100</f>
        <v>17.73</v>
      </c>
      <c r="D102" s="2">
        <f>B102*11.8/100</f>
        <v>11.8</v>
      </c>
      <c r="E102">
        <f>B102*0.3/100</f>
        <v>0.3</v>
      </c>
      <c r="F102" s="4">
        <f>B102*975/100</f>
        <v>975</v>
      </c>
      <c r="G102" s="4">
        <f>B102*14.55/100</f>
        <v>14.55</v>
      </c>
      <c r="H102" s="5">
        <f>B102*351/100</f>
        <v>351</v>
      </c>
      <c r="I102">
        <f>B102*629/100</f>
        <v>629</v>
      </c>
      <c r="J102" s="2">
        <f>B102*468/100</f>
        <v>468</v>
      </c>
      <c r="K102">
        <f>B102*11/100</f>
        <v>11</v>
      </c>
      <c r="L102" s="5">
        <f>B102*7.75/100</f>
        <v>7.75</v>
      </c>
      <c r="M102" s="4">
        <f>B102*4.082/100</f>
        <v>4.0819999999999999</v>
      </c>
      <c r="N102" s="3">
        <f>B102*2.46/100</f>
        <v>2.46</v>
      </c>
      <c r="O102" s="2">
        <f>B102*34.4/100</f>
        <v>34.4</v>
      </c>
      <c r="P102">
        <f>B102*0/100</f>
        <v>0</v>
      </c>
      <c r="Q102" s="3">
        <f>B102*0.791/100</f>
        <v>0.79100000000000004</v>
      </c>
      <c r="R102">
        <f>B102*0.247/100</f>
        <v>0.247</v>
      </c>
      <c r="S102" s="2">
        <f>B102*4.515/100</f>
        <v>4.5149999999999997</v>
      </c>
      <c r="T102">
        <f>B102*25.6/100</f>
        <v>25.6</v>
      </c>
      <c r="U102">
        <f>B102*0.05/100</f>
        <v>0.05</v>
      </c>
      <c r="V102" s="2">
        <f>B102*0.79/100</f>
        <v>0.79</v>
      </c>
      <c r="W102" s="2">
        <f>B102*97/100</f>
        <v>97</v>
      </c>
      <c r="X102">
        <f>B102*0/100</f>
        <v>0</v>
      </c>
      <c r="Y102">
        <f>B102*0.25/100</f>
        <v>0.25</v>
      </c>
      <c r="Z102">
        <f>B102*0/100</f>
        <v>0</v>
      </c>
      <c r="AA102" s="2">
        <f>B102*49.67/100</f>
        <v>49.67</v>
      </c>
      <c r="AB102">
        <f>B102*6.957/100</f>
        <v>6.956999999999999</v>
      </c>
      <c r="AC102">
        <f>B102*18.759/100</f>
        <v>18.759</v>
      </c>
      <c r="AD102">
        <f>B102*21.773/100</f>
        <v>21.773000000000003</v>
      </c>
    </row>
    <row r="103" spans="1:30">
      <c r="A103" s="8" t="s">
        <v>126</v>
      </c>
      <c r="B103" s="10">
        <v>100</v>
      </c>
      <c r="C103">
        <f>B103*15.23/100</f>
        <v>15.23</v>
      </c>
      <c r="D103">
        <f>B103*6.7/100</f>
        <v>6.7</v>
      </c>
      <c r="E103">
        <f>B103*2.61/100</f>
        <v>2.61</v>
      </c>
      <c r="F103">
        <f>B103*98/100</f>
        <v>98</v>
      </c>
      <c r="G103">
        <f>B103*2.91/100</f>
        <v>2.91</v>
      </c>
      <c r="H103">
        <f>B103*158/100</f>
        <v>158</v>
      </c>
      <c r="I103">
        <f>B103*346/100</f>
        <v>346</v>
      </c>
      <c r="J103">
        <f>B103*441/100</f>
        <v>441</v>
      </c>
      <c r="K103">
        <f>B103*2/100</f>
        <v>2</v>
      </c>
      <c r="L103">
        <f>B103*3.09/100</f>
        <v>3.09</v>
      </c>
      <c r="M103" s="2">
        <f>B103*1.586/100</f>
        <v>1.5859999999999999</v>
      </c>
      <c r="N103" s="3">
        <f>B103*3.414/100</f>
        <v>3.4140000000000001</v>
      </c>
      <c r="O103">
        <f>B103*4.9/100</f>
        <v>4.9000000000000004</v>
      </c>
      <c r="P103">
        <f>B103*1.3/100</f>
        <v>1.3</v>
      </c>
      <c r="Q103">
        <f>B103*0.341/100</f>
        <v>0.34100000000000003</v>
      </c>
      <c r="R103">
        <f>B103*0.15/100</f>
        <v>0.15</v>
      </c>
      <c r="S103">
        <f>B103*1.125/100</f>
        <v>1.125</v>
      </c>
      <c r="T103">
        <f>B103*39.2/100</f>
        <v>39.200000000000003</v>
      </c>
      <c r="U103">
        <f>B103*0.57/100</f>
        <v>0.56999999999999995</v>
      </c>
      <c r="V103">
        <f>B103*0.537/100</f>
        <v>0.53700000000000003</v>
      </c>
      <c r="W103" s="2">
        <f>B103*98/100</f>
        <v>98</v>
      </c>
      <c r="X103">
        <f>B103*1/100</f>
        <v>1</v>
      </c>
      <c r="Y103">
        <f>B103*0.7/100</f>
        <v>0.7</v>
      </c>
      <c r="Z103">
        <f>B103*2.7/100</f>
        <v>2.7</v>
      </c>
      <c r="AA103" s="3">
        <f>B103*65.21/100</f>
        <v>65.209999999999994</v>
      </c>
      <c r="AB103">
        <f>B103*6.126/100</f>
        <v>6.1260000000000003</v>
      </c>
      <c r="AC103">
        <f>B103*8.933/100</f>
        <v>8.9329999999999998</v>
      </c>
      <c r="AD103">
        <f>B103*47.174/100</f>
        <v>47.173999999999999</v>
      </c>
    </row>
    <row r="104" spans="1:30">
      <c r="A104" s="8" t="s">
        <v>127</v>
      </c>
      <c r="B104" s="10">
        <v>100</v>
      </c>
      <c r="C104">
        <f>B104*14.95/100</f>
        <v>14.95</v>
      </c>
      <c r="D104" s="2">
        <f>B104*9.7/100</f>
        <v>9.6999999999999993</v>
      </c>
      <c r="E104">
        <f>B104*4.34/100</f>
        <v>4.34</v>
      </c>
      <c r="F104">
        <f>B104*114/100</f>
        <v>114</v>
      </c>
      <c r="G104">
        <f>B104*4.7/100</f>
        <v>4.7</v>
      </c>
      <c r="H104">
        <f>B104*163/100</f>
        <v>163</v>
      </c>
      <c r="I104">
        <f>B104*290/100</f>
        <v>290</v>
      </c>
      <c r="J104" s="2">
        <f>B104*680/100</f>
        <v>680</v>
      </c>
      <c r="K104">
        <f>B104*0/100</f>
        <v>0</v>
      </c>
      <c r="L104">
        <f>B104*2.45/100</f>
        <v>2.4500000000000002</v>
      </c>
      <c r="M104" s="2">
        <f>B104*1.725/100</f>
        <v>1.7250000000000001</v>
      </c>
      <c r="N104" s="4">
        <f>B104*6.175/100</f>
        <v>6.1749999999999998</v>
      </c>
      <c r="O104">
        <f>B104*2.4/100</f>
        <v>2.4</v>
      </c>
      <c r="P104">
        <f>B104*6.3/100</f>
        <v>6.3</v>
      </c>
      <c r="Q104" s="2">
        <f>B104*0.643/100</f>
        <v>0.64300000000000002</v>
      </c>
      <c r="R104">
        <f>B104*0.113/100</f>
        <v>0.113</v>
      </c>
      <c r="S104">
        <f>B104*1.8/100</f>
        <v>1.8</v>
      </c>
      <c r="T104">
        <f>B104*45.6/100</f>
        <v>45.6</v>
      </c>
      <c r="U104" s="2">
        <f>B104*0.918/100</f>
        <v>0.91799999999999993</v>
      </c>
      <c r="V104">
        <f>B104*0.563/100</f>
        <v>0.56299999999999994</v>
      </c>
      <c r="W104" s="3">
        <f>B104*113/100</f>
        <v>113</v>
      </c>
      <c r="X104">
        <f>B104*1/100</f>
        <v>1</v>
      </c>
      <c r="Y104" s="5">
        <f>B104*15.03/100</f>
        <v>15.03</v>
      </c>
      <c r="Z104">
        <f>B104*14.2/100</f>
        <v>14.2</v>
      </c>
      <c r="AA104" s="3">
        <f>B104*60.75/100</f>
        <v>60.75</v>
      </c>
      <c r="AB104">
        <f>B104*4.464/100</f>
        <v>4.4640000000000004</v>
      </c>
      <c r="AC104">
        <f>B104*45.652/100</f>
        <v>45.652000000000001</v>
      </c>
      <c r="AD104">
        <f>B104*7.92/100</f>
        <v>7.92</v>
      </c>
    </row>
    <row r="105" spans="1:30">
      <c r="A105" s="8" t="s">
        <v>128</v>
      </c>
      <c r="B105" s="10">
        <v>100</v>
      </c>
      <c r="C105">
        <f>B105*14.32/100</f>
        <v>14.32</v>
      </c>
      <c r="D105">
        <f>B105*7.5/100</f>
        <v>7.5</v>
      </c>
      <c r="E105">
        <f>B105*2.33/100</f>
        <v>2.33</v>
      </c>
      <c r="F105">
        <f>B105*160/100</f>
        <v>160</v>
      </c>
      <c r="G105">
        <f>B105*2.43/100</f>
        <v>2.4300000000000002</v>
      </c>
      <c r="H105" s="5">
        <f>B105*376/100</f>
        <v>376</v>
      </c>
      <c r="I105">
        <f>B105*725/100</f>
        <v>725</v>
      </c>
      <c r="J105" s="2">
        <f>B105*659/100</f>
        <v>659</v>
      </c>
      <c r="K105">
        <f>B105*3/100</f>
        <v>3</v>
      </c>
      <c r="L105" s="2">
        <f>B105*4.06/100</f>
        <v>4.0599999999999996</v>
      </c>
      <c r="M105" s="2">
        <f>B105*1.743/100</f>
        <v>1.7430000000000001</v>
      </c>
      <c r="N105" s="2">
        <f>B105*1.223/100</f>
        <v>1.2230000000000001</v>
      </c>
      <c r="O105" s="7">
        <f>B105*1917/100</f>
        <v>1917</v>
      </c>
      <c r="P105">
        <f>B105*0.7/100</f>
        <v>0.7</v>
      </c>
      <c r="Q105" s="2">
        <f>B105*0.617/100</f>
        <v>0.61699999999999999</v>
      </c>
      <c r="R105">
        <f>B105*0.035/100</f>
        <v>3.5000000000000003E-2</v>
      </c>
      <c r="S105">
        <f>B105*0.295/100</f>
        <v>0.29499999999999998</v>
      </c>
      <c r="T105">
        <f>B105*28.8/100</f>
        <v>28.8</v>
      </c>
      <c r="U105">
        <f>B105*0.184/100</f>
        <v>0.184</v>
      </c>
      <c r="V105">
        <f>B105*0.101/100</f>
        <v>0.10100000000000002</v>
      </c>
      <c r="W105">
        <f>B105*22/100</f>
        <v>22</v>
      </c>
      <c r="X105">
        <f>B105*0/100</f>
        <v>0</v>
      </c>
      <c r="Y105">
        <f>B105*5.73/100</f>
        <v>5.73</v>
      </c>
      <c r="Z105">
        <f>B105*0/100</f>
        <v>0</v>
      </c>
      <c r="AA105" s="3">
        <f>B105*66.43/100</f>
        <v>66.430000000000007</v>
      </c>
      <c r="AB105">
        <f>B105*15.137/100</f>
        <v>15.137</v>
      </c>
      <c r="AC105">
        <f>B105*24.548/100</f>
        <v>24.547999999999998</v>
      </c>
      <c r="AD105">
        <f>B105*20.577/100</f>
        <v>20.577000000000002</v>
      </c>
    </row>
    <row r="106" spans="1:30">
      <c r="A106" s="8" t="s">
        <v>129</v>
      </c>
      <c r="B106" s="10">
        <v>100</v>
      </c>
      <c r="C106">
        <f>B106*13.69/100</f>
        <v>13.69</v>
      </c>
      <c r="D106">
        <f>B106*3.7/100</f>
        <v>3.7</v>
      </c>
      <c r="E106">
        <f>B106*3.59/100</f>
        <v>3.59</v>
      </c>
      <c r="F106">
        <f>B106*16/100</f>
        <v>16</v>
      </c>
      <c r="G106" s="2">
        <f>B106*5.53/100</f>
        <v>5.53</v>
      </c>
      <c r="H106" s="2">
        <f>B106*251/100</f>
        <v>251</v>
      </c>
      <c r="I106">
        <f>B106*575/100</f>
        <v>575</v>
      </c>
      <c r="J106" s="2">
        <f>B106*597/100</f>
        <v>597</v>
      </c>
      <c r="K106">
        <f>B106*2/100</f>
        <v>2</v>
      </c>
      <c r="L106" s="3">
        <f>B106*6.45/100</f>
        <v>6.45</v>
      </c>
      <c r="M106" s="6">
        <f>B106*1.324/100</f>
        <v>1.3240000000000001</v>
      </c>
      <c r="N106" s="4">
        <f>B106*8.802/100</f>
        <v>8.8019999999999996</v>
      </c>
      <c r="O106">
        <f>B106*0.7/100</f>
        <v>0.7</v>
      </c>
      <c r="P106">
        <f>B106*0.8/100</f>
        <v>0.8</v>
      </c>
      <c r="Q106">
        <f>B106*0.364/100</f>
        <v>0.36399999999999999</v>
      </c>
      <c r="R106">
        <f>B106*0.227/100</f>
        <v>0.22699999999999998</v>
      </c>
      <c r="S106" s="2">
        <f>B106*4.387/100</f>
        <v>4.3869999999999996</v>
      </c>
      <c r="T106" s="2">
        <f>B106*55.8/100</f>
        <v>55.8</v>
      </c>
      <c r="U106">
        <f>B106*0.313/100</f>
        <v>0.313</v>
      </c>
      <c r="V106">
        <f>B106*0.094/100</f>
        <v>9.4E-2</v>
      </c>
      <c r="W106">
        <f>B106*34/100</f>
        <v>34</v>
      </c>
      <c r="X106">
        <f>B106*1/100</f>
        <v>1</v>
      </c>
      <c r="Y106" s="3">
        <f>B106*9.33/100</f>
        <v>9.33</v>
      </c>
      <c r="Z106" s="3">
        <f>B106*53.9/100</f>
        <v>53.9</v>
      </c>
      <c r="AA106" s="4">
        <f>B106*68.37/100</f>
        <v>68.37</v>
      </c>
      <c r="AB106">
        <f>B106*4.899/100</f>
        <v>4.899</v>
      </c>
      <c r="AC106">
        <f>B106*18.764/100</f>
        <v>18.763999999999999</v>
      </c>
      <c r="AD106">
        <f>B106*34.071/100</f>
        <v>34.070999999999998</v>
      </c>
    </row>
    <row r="107" spans="1:30">
      <c r="A107" s="8" t="s">
        <v>130</v>
      </c>
      <c r="B107" s="10">
        <v>100</v>
      </c>
      <c r="C107">
        <f>B107*3.33/100</f>
        <v>3.33</v>
      </c>
      <c r="D107" s="2">
        <f>B107*9/100</f>
        <v>9</v>
      </c>
      <c r="E107">
        <f>B107*6.23/100</f>
        <v>6.23</v>
      </c>
      <c r="F107">
        <f>B107*14/100</f>
        <v>14</v>
      </c>
      <c r="G107">
        <f>B107*2.43/100</f>
        <v>2.4300000000000002</v>
      </c>
      <c r="H107">
        <f>B107*32/100</f>
        <v>32</v>
      </c>
      <c r="I107">
        <f>B107*113/100</f>
        <v>113</v>
      </c>
      <c r="J107">
        <f>B107*356/100</f>
        <v>356</v>
      </c>
      <c r="K107">
        <f>B107*20/100</f>
        <v>20</v>
      </c>
      <c r="L107">
        <f>B107*1.1/100</f>
        <v>1.1000000000000001</v>
      </c>
      <c r="M107">
        <f>B107*0.435/100</f>
        <v>0.435</v>
      </c>
      <c r="N107" s="2">
        <f>B107*1.5/100</f>
        <v>1.5</v>
      </c>
      <c r="O107">
        <f>B107*10.1/100</f>
        <v>10.1</v>
      </c>
      <c r="P107">
        <f>B107*3.3/100</f>
        <v>3.3</v>
      </c>
      <c r="Q107">
        <f>B107*0.066/100</f>
        <v>6.6000000000000003E-2</v>
      </c>
      <c r="R107">
        <f>B107*0.02/100</f>
        <v>0.02</v>
      </c>
      <c r="S107">
        <f>B107*0.54/100</f>
        <v>0.54</v>
      </c>
      <c r="T107">
        <f>B107*12.1/100</f>
        <v>12.1</v>
      </c>
      <c r="U107">
        <f>B107*0.3/100</f>
        <v>0.3</v>
      </c>
      <c r="V107">
        <f>B107*0.054/100</f>
        <v>5.4000000000000006E-2</v>
      </c>
      <c r="W107">
        <f>B107*26/100</f>
        <v>26</v>
      </c>
      <c r="X107">
        <f>B107*0/100</f>
        <v>0</v>
      </c>
      <c r="Y107">
        <f>B107*0.24/100</f>
        <v>0.24</v>
      </c>
      <c r="Z107">
        <f>B107*0.2/100</f>
        <v>0.2</v>
      </c>
      <c r="AA107">
        <f>B107*33.49/100</f>
        <v>33.49</v>
      </c>
      <c r="AB107">
        <f>B107*29.698/100</f>
        <v>29.698</v>
      </c>
      <c r="AC107">
        <f>B107*1.425/100</f>
        <v>1.425</v>
      </c>
      <c r="AD107">
        <f>B107*0.366/100</f>
        <v>0.36599999999999999</v>
      </c>
    </row>
    <row r="108" spans="1:30">
      <c r="A108" s="9"/>
      <c r="B108" s="10"/>
      <c r="F108" s="2"/>
      <c r="P108" s="2"/>
      <c r="V108" s="2"/>
      <c r="W108" s="2"/>
      <c r="Z108" s="2"/>
    </row>
    <row r="109" spans="1:30">
      <c r="A109" s="9"/>
      <c r="B109" s="10"/>
      <c r="P109" s="2"/>
      <c r="V109" s="2"/>
      <c r="W109" s="2"/>
      <c r="Z109" s="2"/>
    </row>
    <row r="110" spans="1:30">
      <c r="A110" s="9"/>
      <c r="B110" s="10"/>
      <c r="P110" s="2"/>
      <c r="V110" s="2"/>
    </row>
    <row r="111" spans="1:30">
      <c r="A111" s="8" t="s">
        <v>131</v>
      </c>
      <c r="B111" s="10">
        <v>100</v>
      </c>
      <c r="C111" s="3">
        <f>B111*16.89/100</f>
        <v>16.89</v>
      </c>
      <c r="D111" s="2">
        <f>B111*10.6/100</f>
        <v>10.6</v>
      </c>
      <c r="F111">
        <f>B111*54/100</f>
        <v>54</v>
      </c>
      <c r="G111" s="2">
        <f>B111*4.72/100</f>
        <v>4.72</v>
      </c>
      <c r="H111" s="3">
        <f>B111*177/100</f>
        <v>177</v>
      </c>
      <c r="I111" s="3">
        <f>B111*523/100</f>
        <v>523</v>
      </c>
      <c r="J111">
        <f>B111*429/100</f>
        <v>429</v>
      </c>
      <c r="K111">
        <f>B111*2/100</f>
        <v>2</v>
      </c>
      <c r="L111" s="2">
        <f>B111*3.97/100</f>
        <v>3.97</v>
      </c>
      <c r="M111" s="3">
        <f>B111*0.626/100</f>
        <v>0.626</v>
      </c>
      <c r="N111" s="4">
        <f>B111*4.916/100</f>
        <v>4.9160000000000004</v>
      </c>
      <c r="P111">
        <f>B111*0/100</f>
        <v>0</v>
      </c>
      <c r="Q111" s="3">
        <f>B111*0.763/100</f>
        <v>0.76300000000000001</v>
      </c>
      <c r="R111">
        <f>B111*0.139/100</f>
        <v>0.13900000000000001</v>
      </c>
      <c r="S111">
        <f>B111*0.961/100</f>
        <v>0.96099999999999997</v>
      </c>
      <c r="U111" s="2">
        <f>B111*1.349/100</f>
        <v>1.349</v>
      </c>
      <c r="V111">
        <f>B111*0.119/100</f>
        <v>0.11899999999999998</v>
      </c>
      <c r="W111">
        <f>B111*56/100</f>
        <v>56</v>
      </c>
      <c r="X111">
        <f>B111*0/100</f>
        <v>0</v>
      </c>
      <c r="AA111" s="3">
        <f>B111*6.9/100</f>
        <v>6.9</v>
      </c>
      <c r="AB111">
        <f>B111*1.217/100</f>
        <v>1.2170000000000001</v>
      </c>
      <c r="AC111">
        <f>B111*2.178/100</f>
        <v>2.1779999999999999</v>
      </c>
      <c r="AD111">
        <f>B111*2.535/100</f>
        <v>2.5350000000000001</v>
      </c>
    </row>
    <row r="112" spans="1:30">
      <c r="A112" s="8" t="s">
        <v>132</v>
      </c>
      <c r="B112" s="10">
        <v>100</v>
      </c>
      <c r="C112" s="3">
        <f>B112*14.73/100</f>
        <v>14.73</v>
      </c>
      <c r="D112">
        <f>B112*6.2/100</f>
        <v>6.2</v>
      </c>
      <c r="E112">
        <f>B112*2.5/100</f>
        <v>2.5</v>
      </c>
      <c r="F112">
        <f>B112*21/100</f>
        <v>21</v>
      </c>
      <c r="G112">
        <f>B112*1.96/100</f>
        <v>1.96</v>
      </c>
      <c r="H112" s="3">
        <f>B112*177/100</f>
        <v>177</v>
      </c>
      <c r="I112" s="3">
        <f>B112*433/100</f>
        <v>433</v>
      </c>
      <c r="J112">
        <f>B112*427/100</f>
        <v>427</v>
      </c>
      <c r="K112">
        <f>B112*7/100</f>
        <v>7</v>
      </c>
      <c r="L112" s="2">
        <f>B112*5.96/100</f>
        <v>5.96</v>
      </c>
      <c r="M112" s="2">
        <f>B112*0.524/100</f>
        <v>0.52400000000000002</v>
      </c>
      <c r="N112" s="2">
        <f>B112*1.329/100</f>
        <v>1.329</v>
      </c>
      <c r="O112">
        <f>B112*2.8/100</f>
        <v>2.8</v>
      </c>
      <c r="P112">
        <f>B112*0/100</f>
        <v>0</v>
      </c>
      <c r="Q112">
        <f>B112*0.115/100</f>
        <v>0.115</v>
      </c>
      <c r="R112">
        <f>B112*0.262/100</f>
        <v>0.26200000000000001</v>
      </c>
      <c r="S112" s="3">
        <f>B112*6.733/100</f>
        <v>6.7329999999999997</v>
      </c>
      <c r="T112">
        <f>B112*35/100</f>
        <v>35</v>
      </c>
      <c r="U112" s="2">
        <f>B112*1.074/100</f>
        <v>1.0740000000000001</v>
      </c>
      <c r="V112">
        <f>B112*0.21/100</f>
        <v>0.21</v>
      </c>
      <c r="W112">
        <f>B112*30/100</f>
        <v>30</v>
      </c>
      <c r="X112">
        <f>B112*0/100</f>
        <v>0</v>
      </c>
      <c r="AA112">
        <f>B112*3.4/100</f>
        <v>3.4</v>
      </c>
      <c r="AB112">
        <f>B112*0.741/100</f>
        <v>0.74099999999999999</v>
      </c>
      <c r="AC112">
        <f>B112*1.04/100</f>
        <v>1.04</v>
      </c>
      <c r="AD112">
        <f>B112*1.039/100</f>
        <v>1.0389999999999999</v>
      </c>
    </row>
    <row r="113" spans="1:30">
      <c r="A113" s="9" t="s">
        <v>133</v>
      </c>
      <c r="B113" s="10">
        <v>100</v>
      </c>
      <c r="C113" s="3">
        <f>B113*13.25/100</f>
        <v>13.25</v>
      </c>
      <c r="D113" s="2">
        <f>B113*10/100</f>
        <v>10</v>
      </c>
      <c r="F113">
        <f>B113*18/100</f>
        <v>18</v>
      </c>
      <c r="G113">
        <f>B113*2.2/100</f>
        <v>2.2000000000000002</v>
      </c>
      <c r="H113" s="5">
        <f>B113*231/100</f>
        <v>231</v>
      </c>
      <c r="I113" s="3">
        <f>B113*347/100</f>
        <v>347</v>
      </c>
      <c r="J113">
        <f>B113*460/100</f>
        <v>460</v>
      </c>
      <c r="K113">
        <f>B113*1/100</f>
        <v>1</v>
      </c>
      <c r="L113">
        <f>B113*2.4/100</f>
        <v>2.4</v>
      </c>
      <c r="M113" s="4">
        <f>B113*1.1/100</f>
        <v>1.1000000000000001</v>
      </c>
      <c r="N113" s="2">
        <f>B113*1.3/100</f>
        <v>1.3</v>
      </c>
      <c r="O113">
        <f>B113*8.3/100</f>
        <v>8.3000000000000007</v>
      </c>
      <c r="P113">
        <f>B113*0/100</f>
        <v>0</v>
      </c>
      <c r="Q113">
        <f>B113*0.101/100</f>
        <v>0.10100000000000002</v>
      </c>
      <c r="R113" s="2">
        <f>B113*0.425/100</f>
        <v>0.42499999999999999</v>
      </c>
      <c r="S113" s="3">
        <f>B113*7.02/100</f>
        <v>7.02</v>
      </c>
      <c r="U113" s="2">
        <f>B113*1.233/100</f>
        <v>1.2330000000000001</v>
      </c>
      <c r="V113">
        <f>B113*0.265/100</f>
        <v>0.26500000000000001</v>
      </c>
      <c r="W113">
        <f>B113*38/100</f>
        <v>38</v>
      </c>
      <c r="X113">
        <f>B113*0/100</f>
        <v>0</v>
      </c>
      <c r="AA113">
        <f>B113*1.27/100</f>
        <v>1.27</v>
      </c>
      <c r="AB113">
        <f>B113*0.206/100</f>
        <v>0.20599999999999999</v>
      </c>
      <c r="AC113">
        <f>B113*0.151/100</f>
        <v>0.151</v>
      </c>
      <c r="AD113">
        <f>B113*0.557/100</f>
        <v>0.55700000000000005</v>
      </c>
    </row>
    <row r="114" spans="1:30">
      <c r="A114" s="9" t="s">
        <v>134</v>
      </c>
      <c r="B114" s="10">
        <v>100</v>
      </c>
      <c r="C114" s="2">
        <f>B114*11.73/100</f>
        <v>11.73</v>
      </c>
      <c r="D114" s="2">
        <f>B114*10.3/100</f>
        <v>10.3</v>
      </c>
      <c r="F114">
        <f>B114*17/100</f>
        <v>17</v>
      </c>
      <c r="G114">
        <f>B114*2.47/100</f>
        <v>2.4700000000000002</v>
      </c>
      <c r="H114" s="5">
        <f>B114*221/100</f>
        <v>221</v>
      </c>
      <c r="I114" s="2">
        <f>B114*319/100</f>
        <v>319</v>
      </c>
      <c r="J114">
        <f>B114*320/100</f>
        <v>320</v>
      </c>
      <c r="K114">
        <f>B114*11/100</f>
        <v>11</v>
      </c>
      <c r="L114">
        <f>B114*2.42/100</f>
        <v>2.42</v>
      </c>
      <c r="M114" s="3">
        <f>B114*0.624/100</f>
        <v>0.624</v>
      </c>
      <c r="N114" s="3">
        <f>B114*1.618/100</f>
        <v>1.6180000000000001</v>
      </c>
      <c r="O114">
        <f>B114*8.4/100</f>
        <v>8.4</v>
      </c>
      <c r="P114">
        <f>B114*0/100</f>
        <v>0</v>
      </c>
      <c r="Q114">
        <f>B114*0.224/100</f>
        <v>0.22400000000000003</v>
      </c>
      <c r="R114">
        <f>B114*0.271/100</f>
        <v>0.27100000000000002</v>
      </c>
      <c r="S114" s="2">
        <f>B114*5.135/100</f>
        <v>5.1349999999999998</v>
      </c>
      <c r="T114" s="2">
        <f>B114*54.2/100</f>
        <v>54.2</v>
      </c>
      <c r="U114" s="2">
        <f>B114*1.233/100</f>
        <v>1.2330000000000001</v>
      </c>
      <c r="V114">
        <f>B114*0.294/100</f>
        <v>0.29399999999999998</v>
      </c>
      <c r="W114">
        <f>B114*38/100</f>
        <v>38</v>
      </c>
      <c r="X114">
        <f>B114*1/100</f>
        <v>1</v>
      </c>
      <c r="Y114">
        <f>B114*0.85/100</f>
        <v>0.85</v>
      </c>
      <c r="Z114">
        <f>B114*5.9/100</f>
        <v>5.9</v>
      </c>
      <c r="AA114">
        <f>B114*1.63/100</f>
        <v>1.63</v>
      </c>
      <c r="AB114">
        <f>B114*0.197/100</f>
        <v>0.19699999999999998</v>
      </c>
      <c r="AC114">
        <f>B114*0.208/100</f>
        <v>0.20800000000000002</v>
      </c>
      <c r="AD114">
        <f>B114*0.767/100</f>
        <v>0.76700000000000002</v>
      </c>
    </row>
    <row r="115" spans="1:30">
      <c r="A115" s="8" t="s">
        <v>135</v>
      </c>
      <c r="B115" s="10">
        <v>100</v>
      </c>
      <c r="C115" s="2">
        <f>B115*11.02/100</f>
        <v>11.02</v>
      </c>
      <c r="D115">
        <f>B115*8.5/100</f>
        <v>8.5</v>
      </c>
      <c r="F115">
        <f>B115*8/100</f>
        <v>8</v>
      </c>
      <c r="G115">
        <f>B115*3.01/100</f>
        <v>3.01</v>
      </c>
      <c r="H115" s="2">
        <f>B115*114/100</f>
        <v>114</v>
      </c>
      <c r="I115" s="2">
        <f>B115*285/100</f>
        <v>285</v>
      </c>
      <c r="J115">
        <f>B115*195/100</f>
        <v>195</v>
      </c>
      <c r="K115">
        <f>B115*5/100</f>
        <v>5</v>
      </c>
      <c r="L115">
        <f>B115*1.68/100</f>
        <v>1.68</v>
      </c>
      <c r="M115" s="2">
        <f>B115*0.75/100</f>
        <v>0.75</v>
      </c>
      <c r="N115" s="3">
        <f>B115*1.632/100</f>
        <v>1.6319999999999999</v>
      </c>
      <c r="O115">
        <f>B115*2.7/100</f>
        <v>2.7</v>
      </c>
      <c r="P115">
        <f>B115*0/100</f>
        <v>0</v>
      </c>
      <c r="Q115">
        <f>B115*0.421/100</f>
        <v>0.42100000000000004</v>
      </c>
      <c r="R115">
        <f>B115*0.29/100</f>
        <v>0.28999999999999998</v>
      </c>
      <c r="S115" s="2">
        <f>B115*4.72/100</f>
        <v>4.72</v>
      </c>
      <c r="U115">
        <f>B115*0.848/100</f>
        <v>0.84799999999999998</v>
      </c>
      <c r="V115" s="2">
        <f>B115*0.509/100</f>
        <v>0.50900000000000001</v>
      </c>
      <c r="W115">
        <f>B115*20/100</f>
        <v>20</v>
      </c>
      <c r="X115">
        <f>B115*0/100</f>
        <v>0</v>
      </c>
      <c r="AA115">
        <f>B115*2.68/100</f>
        <v>2.68</v>
      </c>
      <c r="AB115">
        <f>B115*0.536/100</f>
        <v>0.53600000000000003</v>
      </c>
      <c r="AC115">
        <f>B115*0.971/100</f>
        <v>0.97099999999999997</v>
      </c>
      <c r="AD115">
        <f>B115*0.959/100</f>
        <v>0.95899999999999996</v>
      </c>
    </row>
    <row r="116" spans="1:30">
      <c r="A116" s="8" t="s">
        <v>136</v>
      </c>
      <c r="B116" s="10">
        <v>100</v>
      </c>
      <c r="C116" s="2">
        <f>B116*10.34/100</f>
        <v>10.34</v>
      </c>
      <c r="D116" s="3">
        <f>B116*15.1/100</f>
        <v>15.1</v>
      </c>
      <c r="E116">
        <f>B116*0.98/100</f>
        <v>0.98</v>
      </c>
      <c r="F116">
        <f>B116*24/100</f>
        <v>24</v>
      </c>
      <c r="G116">
        <f>B116*2.63/100</f>
        <v>2.63</v>
      </c>
      <c r="H116" s="2">
        <f>B116*110/100</f>
        <v>110</v>
      </c>
      <c r="I116" s="2">
        <f>B116*332/100</f>
        <v>332</v>
      </c>
      <c r="J116">
        <f>B116*510/100</f>
        <v>510</v>
      </c>
      <c r="K116">
        <f>B116*2/100</f>
        <v>2</v>
      </c>
      <c r="L116">
        <f>B116*2.65/100</f>
        <v>2.65</v>
      </c>
      <c r="M116">
        <f>B116*0.367/100</f>
        <v>0.36700000000000005</v>
      </c>
      <c r="N116" s="4">
        <f>B116*2.577/100</f>
        <v>2.577</v>
      </c>
      <c r="O116">
        <f>B116*13.9/100</f>
        <v>13.9</v>
      </c>
      <c r="P116">
        <f>B116*0/100</f>
        <v>0</v>
      </c>
      <c r="Q116">
        <f>B116*0.316/100</f>
        <v>0.316</v>
      </c>
      <c r="R116">
        <f>B116*0.251/100</f>
        <v>0.251</v>
      </c>
      <c r="S116" s="2">
        <f>B116*4.27/100</f>
        <v>4.2699999999999996</v>
      </c>
      <c r="T116">
        <f>B116*30.4/100</f>
        <v>30.4</v>
      </c>
      <c r="U116" s="2">
        <f>B116*1.456/100</f>
        <v>1.456</v>
      </c>
      <c r="V116" s="2">
        <f>B116*0.384/100</f>
        <v>0.38400000000000001</v>
      </c>
      <c r="W116" s="2">
        <f>B116*85/100</f>
        <v>85</v>
      </c>
      <c r="X116">
        <f>B116*0/100</f>
        <v>0</v>
      </c>
      <c r="Y116">
        <f>B116*0.05/100</f>
        <v>0.05</v>
      </c>
      <c r="Z116">
        <f>B116*0.9/100</f>
        <v>0.9</v>
      </c>
      <c r="AA116" s="2">
        <f>B116*4.22/100</f>
        <v>4.22</v>
      </c>
      <c r="AB116">
        <f>B116*0.723/100</f>
        <v>0.72299999999999998</v>
      </c>
      <c r="AC116">
        <f>B116*0.773/100</f>
        <v>0.77300000000000002</v>
      </c>
      <c r="AD116">
        <f>B116*2.134/100</f>
        <v>2.1339999999999999</v>
      </c>
    </row>
    <row r="117" spans="1:30">
      <c r="A117" s="8" t="s">
        <v>137</v>
      </c>
      <c r="B117" s="10">
        <v>100</v>
      </c>
      <c r="C117" s="2">
        <f>B117*9.91/100</f>
        <v>9.91</v>
      </c>
      <c r="D117" s="3">
        <f>B117*15.6/100</f>
        <v>15.6</v>
      </c>
      <c r="E117">
        <f>B117*0.8/100</f>
        <v>0.8</v>
      </c>
      <c r="F117">
        <f>B117*29/100</f>
        <v>29</v>
      </c>
      <c r="G117">
        <f>B117*2.5/100</f>
        <v>2.5</v>
      </c>
      <c r="H117">
        <f>B117*79/100</f>
        <v>79</v>
      </c>
      <c r="I117" s="2">
        <f>B117*221/100</f>
        <v>221</v>
      </c>
      <c r="J117">
        <f>B117*280/100</f>
        <v>280</v>
      </c>
      <c r="K117">
        <f>B117*9/100</f>
        <v>9</v>
      </c>
      <c r="L117">
        <f>B117*2.13/100</f>
        <v>2.13</v>
      </c>
      <c r="M117" s="2">
        <f>B117*0.42/100</f>
        <v>0.42</v>
      </c>
      <c r="N117" s="2">
        <f>B117*1.322/100</f>
        <v>1.3220000000000001</v>
      </c>
      <c r="O117" s="2">
        <f>B117*37.7/100</f>
        <v>37.700000000000003</v>
      </c>
      <c r="P117">
        <f>B117*0/100</f>
        <v>0</v>
      </c>
      <c r="Q117">
        <f>B117*0.191/100</f>
        <v>0.191</v>
      </c>
      <c r="R117">
        <f>B117*0.114/100</f>
        <v>0.114</v>
      </c>
      <c r="S117" s="2">
        <f>B117*4.604/100</f>
        <v>4.6040000000000001</v>
      </c>
      <c r="T117">
        <f>B117*37.8/100</f>
        <v>37.799999999999997</v>
      </c>
      <c r="U117">
        <f>B117*0.282/100</f>
        <v>0.28199999999999997</v>
      </c>
      <c r="V117">
        <f>B117*0.26/100</f>
        <v>0.26</v>
      </c>
      <c r="W117">
        <f>B117*23/100</f>
        <v>23</v>
      </c>
      <c r="X117">
        <f>B117*1/100</f>
        <v>1</v>
      </c>
      <c r="Y117">
        <f>B117*0.02/100</f>
        <v>0.02</v>
      </c>
      <c r="Z117">
        <f>B117*2.2/100</f>
        <v>2.2000000000000002</v>
      </c>
      <c r="AA117">
        <f>B117*1.16/100</f>
        <v>1.1599999999999999</v>
      </c>
      <c r="AB117">
        <f>B117*0.244/100</f>
        <v>0.24399999999999999</v>
      </c>
      <c r="AC117">
        <f>B117*0.149/100</f>
        <v>0.14899999999999999</v>
      </c>
      <c r="AD117">
        <f>B117*0.56/100</f>
        <v>0.56000000000000005</v>
      </c>
    </row>
    <row r="118" spans="1:30">
      <c r="A118" s="8" t="s">
        <v>138</v>
      </c>
      <c r="B118" s="10">
        <v>100</v>
      </c>
      <c r="C118">
        <f>B118*7.5/100</f>
        <v>7.5</v>
      </c>
      <c r="D118">
        <f>B118*3.4/100</f>
        <v>3.4</v>
      </c>
      <c r="F118">
        <f>B118*33/100</f>
        <v>33</v>
      </c>
      <c r="G118">
        <f>B118*1.8/100</f>
        <v>1.8</v>
      </c>
      <c r="H118" s="3">
        <f>B118*143/100</f>
        <v>143</v>
      </c>
      <c r="I118" s="2">
        <f>B118*264/100</f>
        <v>264</v>
      </c>
      <c r="J118">
        <f>B118*268/100</f>
        <v>268</v>
      </c>
      <c r="K118">
        <f>B118*4/100</f>
        <v>4</v>
      </c>
      <c r="L118">
        <f>B118*2.02/100</f>
        <v>2.02</v>
      </c>
      <c r="M118">
        <f>B118*0.277/100</f>
        <v>0.27700000000000002</v>
      </c>
      <c r="N118" s="4">
        <f>B118*3.743/100</f>
        <v>3.7430000000000003</v>
      </c>
      <c r="P118">
        <f>B118*0/100</f>
        <v>0</v>
      </c>
      <c r="Q118">
        <f>B118*0.413/100</f>
        <v>0.41299999999999998</v>
      </c>
      <c r="R118">
        <f>B118*0.043/100</f>
        <v>4.2999999999999997E-2</v>
      </c>
      <c r="S118" s="2">
        <f>B118*4.308/100</f>
        <v>4.3079999999999998</v>
      </c>
      <c r="U118" s="2">
        <f>B118*1.493/100</f>
        <v>1.4930000000000001</v>
      </c>
      <c r="V118">
        <f>B118*0.353/100</f>
        <v>0.35299999999999998</v>
      </c>
      <c r="W118">
        <f>B118*42/100</f>
        <v>42</v>
      </c>
      <c r="X118">
        <f>B118*0/100</f>
        <v>0</v>
      </c>
      <c r="AA118">
        <f>B118*2.71/100</f>
        <v>2.71</v>
      </c>
      <c r="AB118">
        <f>B118*0.591/100</f>
        <v>0.59099999999999997</v>
      </c>
      <c r="AC118">
        <f>B118*0.828/100</f>
        <v>0.82799999999999996</v>
      </c>
      <c r="AD118">
        <f>B118*0.828/100</f>
        <v>0.82799999999999996</v>
      </c>
    </row>
    <row r="119" spans="1:30">
      <c r="A119" s="8" t="s">
        <v>139</v>
      </c>
      <c r="B119" s="10">
        <v>100</v>
      </c>
      <c r="C119">
        <f>B119*7.49/100</f>
        <v>7.49</v>
      </c>
      <c r="D119">
        <f>B119*1.1/100</f>
        <v>1.1000000000000001</v>
      </c>
      <c r="F119">
        <f>B119*28/100</f>
        <v>28</v>
      </c>
      <c r="G119">
        <f>B119*2.14/100</f>
        <v>2.14</v>
      </c>
      <c r="H119">
        <f>B119*82/100</f>
        <v>82</v>
      </c>
      <c r="I119" s="2">
        <f>B119*200/100</f>
        <v>200</v>
      </c>
      <c r="J119">
        <f>B119*169/100</f>
        <v>169</v>
      </c>
      <c r="K119">
        <f>B119*16/100</f>
        <v>16</v>
      </c>
      <c r="L119">
        <f>B119*1.65/100</f>
        <v>1.65</v>
      </c>
      <c r="M119">
        <f>B119*0.261/100</f>
        <v>0.26100000000000001</v>
      </c>
      <c r="N119" s="3">
        <f>B119*1.858/100</f>
        <v>1.8580000000000001</v>
      </c>
      <c r="O119" s="4">
        <f>B119*42.5/100</f>
        <v>42.5</v>
      </c>
      <c r="P119">
        <f>B119*2.6/100</f>
        <v>2.6</v>
      </c>
      <c r="Q119">
        <f>B119*0.225/100</f>
        <v>0.22500000000000001</v>
      </c>
      <c r="R119">
        <f>B119*0.155/100</f>
        <v>0.155</v>
      </c>
      <c r="S119">
        <f>B119*3.087/100</f>
        <v>3.0870000000000006</v>
      </c>
      <c r="V119">
        <f>B119*0.145/100</f>
        <v>0.14499999999999999</v>
      </c>
      <c r="W119">
        <f>B119*9/100</f>
        <v>9</v>
      </c>
      <c r="X119">
        <f>B119*0/100</f>
        <v>0</v>
      </c>
      <c r="AA119">
        <f>B119*0.58/100</f>
        <v>0.57999999999999996</v>
      </c>
      <c r="AB119">
        <f>B119*0.158/100</f>
        <v>0.158</v>
      </c>
      <c r="AC119">
        <f>B119*0.181/100</f>
        <v>0.18099999999999997</v>
      </c>
      <c r="AD119">
        <f>B119*0.155/100</f>
        <v>0.155</v>
      </c>
    </row>
    <row r="120" spans="1:30">
      <c r="A120" s="8" t="s">
        <v>140</v>
      </c>
      <c r="B120" s="10">
        <v>100</v>
      </c>
      <c r="C120">
        <f>B120*6.61/100</f>
        <v>6.61</v>
      </c>
      <c r="F120">
        <f>B120*9/100</f>
        <v>9</v>
      </c>
      <c r="G120">
        <f>B120*0.8/100</f>
        <v>0.8</v>
      </c>
      <c r="H120">
        <f>B120*35/100</f>
        <v>35</v>
      </c>
      <c r="I120" s="2">
        <f>B120*108/100</f>
        <v>108</v>
      </c>
      <c r="J120">
        <f>B120*86/100</f>
        <v>86</v>
      </c>
      <c r="K120">
        <f>B120*1/100</f>
        <v>1</v>
      </c>
      <c r="L120">
        <f>B120*1.16/100</f>
        <v>1.1599999999999999</v>
      </c>
      <c r="M120">
        <f>B120*0.11/100</f>
        <v>0.11</v>
      </c>
      <c r="N120" s="2">
        <f>B120*1.1/100</f>
        <v>1.1000000000000001</v>
      </c>
      <c r="P120">
        <f>B120*0/100</f>
        <v>0</v>
      </c>
      <c r="Q120">
        <f>B120*0.07/100</f>
        <v>7.0000000000000007E-2</v>
      </c>
      <c r="R120">
        <f>B120*0.048/100</f>
        <v>4.8000000000000001E-2</v>
      </c>
      <c r="S120">
        <f>B120*1.6/100</f>
        <v>1.6</v>
      </c>
      <c r="U120" s="2">
        <f>B120*1.342/100</f>
        <v>1.3420000000000001</v>
      </c>
      <c r="V120">
        <f>B120*0.391/100</f>
        <v>0.39100000000000001</v>
      </c>
      <c r="W120" s="2">
        <f>B120*95/100</f>
        <v>95</v>
      </c>
      <c r="X120">
        <f>B120*1/100</f>
        <v>1</v>
      </c>
      <c r="Y120">
        <f>B120*0.82/100</f>
        <v>0.82</v>
      </c>
      <c r="Z120">
        <f>B120*1.9/100</f>
        <v>1.9</v>
      </c>
      <c r="AA120">
        <f>B120*1.08/100</f>
        <v>1.08</v>
      </c>
      <c r="AB120">
        <f>B120*0.156/100</f>
        <v>0.156</v>
      </c>
      <c r="AC120">
        <f>B120*0.159/100</f>
        <v>0.159</v>
      </c>
      <c r="AD120">
        <f>B120*0.676/100</f>
        <v>0.67600000000000005</v>
      </c>
    </row>
    <row r="121" spans="1:30">
      <c r="A121" s="9"/>
      <c r="B121" s="10"/>
    </row>
    <row r="122" spans="1:30">
      <c r="A122" s="8"/>
      <c r="B122" s="10"/>
      <c r="D122" s="2"/>
      <c r="I122" s="2"/>
      <c r="N122" s="2"/>
      <c r="U122" s="2"/>
      <c r="W122" s="2"/>
      <c r="Y122" s="2"/>
    </row>
    <row r="123" spans="1:30">
      <c r="A123" s="9"/>
      <c r="B123" s="10"/>
      <c r="P123" s="4"/>
      <c r="S123" s="2"/>
      <c r="V123" s="2"/>
      <c r="W123" s="2"/>
      <c r="X123" s="2"/>
      <c r="Y123" s="2"/>
    </row>
    <row r="124" spans="1:30">
      <c r="A124" s="8" t="s">
        <v>141</v>
      </c>
      <c r="B124" s="10">
        <v>100</v>
      </c>
      <c r="C124" s="3">
        <f>B124*26.12/100</f>
        <v>26.12</v>
      </c>
      <c r="D124" s="4">
        <f>B124*25/100</f>
        <v>25</v>
      </c>
      <c r="E124">
        <f>B124*5.7/100</f>
        <v>5.7</v>
      </c>
      <c r="F124">
        <f>B124*103/100</f>
        <v>103</v>
      </c>
      <c r="G124" s="3">
        <f>B124*6.7/100</f>
        <v>6.7</v>
      </c>
      <c r="H124" s="3">
        <f>B124*192/100</f>
        <v>192</v>
      </c>
      <c r="I124" s="2">
        <f>B124*421/100</f>
        <v>421</v>
      </c>
      <c r="J124" s="2">
        <f>B124*1062/100</f>
        <v>1062</v>
      </c>
      <c r="K124">
        <f>B124*13/100</f>
        <v>13</v>
      </c>
      <c r="L124" s="2">
        <f>B124*3.14/100</f>
        <v>3.14</v>
      </c>
      <c r="M124" s="5">
        <f>B124*0.824/100</f>
        <v>0.82399999999999995</v>
      </c>
      <c r="N124" s="3">
        <f>B124*1.626/100</f>
        <v>1.6259999999999999</v>
      </c>
      <c r="O124">
        <f>B124*8.2/100</f>
        <v>8.1999999999999993</v>
      </c>
      <c r="P124">
        <f>B124*1.4/100</f>
        <v>1.4</v>
      </c>
      <c r="Q124">
        <f>B124*0.555/100</f>
        <v>0.55500000000000005</v>
      </c>
      <c r="R124" s="2">
        <f>B124*0.333/100</f>
        <v>0.33300000000000002</v>
      </c>
      <c r="S124" s="2">
        <f>B124*2.832/100</f>
        <v>2.8319999999999999</v>
      </c>
      <c r="T124" s="2">
        <f>B124*95.8/100</f>
        <v>95.8</v>
      </c>
      <c r="U124">
        <f>B124*0.976/100</f>
        <v>0.97599999999999998</v>
      </c>
      <c r="V124">
        <f>B124*0.366/100</f>
        <v>0.36599999999999999</v>
      </c>
      <c r="W124" s="4">
        <f>B124*423/100</f>
        <v>423</v>
      </c>
      <c r="X124">
        <f>B124*3/100</f>
        <v>3</v>
      </c>
      <c r="Y124">
        <f>B124*0.05/100</f>
        <v>0.05</v>
      </c>
      <c r="Z124">
        <f>B124*9/100</f>
        <v>9</v>
      </c>
      <c r="AA124">
        <f>B124*1.53/100</f>
        <v>1.53</v>
      </c>
      <c r="AB124">
        <f>B124*0.254/100</f>
        <v>0.254</v>
      </c>
      <c r="AC124">
        <f>B124*0.303/100</f>
        <v>0.30299999999999999</v>
      </c>
      <c r="AD124">
        <f>B124*0.627/100</f>
        <v>0.627</v>
      </c>
    </row>
    <row r="125" spans="1:30">
      <c r="A125" s="8" t="s">
        <v>142</v>
      </c>
      <c r="B125" s="10">
        <v>100</v>
      </c>
      <c r="C125" s="3">
        <f>B125*25.8/100</f>
        <v>25.8</v>
      </c>
      <c r="D125" s="4">
        <f>B125*30.5/100</f>
        <v>30.5</v>
      </c>
      <c r="E125">
        <f>B125*2.03/100</f>
        <v>2.0299999999999998</v>
      </c>
      <c r="F125">
        <f>B125*56/100</f>
        <v>56</v>
      </c>
      <c r="G125" s="3">
        <f>B125*7.54/100</f>
        <v>7.54</v>
      </c>
      <c r="H125" s="2">
        <f>B125*122/100</f>
        <v>122</v>
      </c>
      <c r="I125" s="3">
        <f>B125*451/100</f>
        <v>451</v>
      </c>
      <c r="J125" s="2">
        <f>B125*955/100</f>
        <v>955</v>
      </c>
      <c r="K125">
        <f>B125*6/100</f>
        <v>6</v>
      </c>
      <c r="L125" s="3">
        <f>B125*4.78/100</f>
        <v>4.78</v>
      </c>
      <c r="M125" s="2">
        <f>B125*0.519/100</f>
        <v>0.51900000000000002</v>
      </c>
      <c r="N125" s="2">
        <f>B125*1.33/100</f>
        <v>1.33</v>
      </c>
      <c r="O125">
        <f>B125*8.3/100</f>
        <v>8.3000000000000007</v>
      </c>
      <c r="P125">
        <f>B125*4.4/100</f>
        <v>4.4000000000000004</v>
      </c>
      <c r="Q125" s="5">
        <f>B125*0.873/100</f>
        <v>0.873</v>
      </c>
      <c r="R125">
        <f>B125*0.211/100</f>
        <v>0.21099999999999997</v>
      </c>
      <c r="S125" s="2">
        <f>B125*2.605/100</f>
        <v>2.605</v>
      </c>
      <c r="T125" s="2">
        <f>B125*96.4/100</f>
        <v>96.4</v>
      </c>
      <c r="U125" s="3">
        <f>B125*2.14/100</f>
        <v>2.14</v>
      </c>
      <c r="V125" s="2">
        <f>B125*0.54/100</f>
        <v>0.54</v>
      </c>
      <c r="W125" s="4">
        <f>B125*479/100</f>
        <v>479</v>
      </c>
      <c r="X125">
        <f>B125*2/100</f>
        <v>2</v>
      </c>
      <c r="Y125">
        <f>B125*0.49/100</f>
        <v>0.49</v>
      </c>
      <c r="Z125">
        <f>B125*5/100</f>
        <v>5</v>
      </c>
      <c r="AA125">
        <f>B125*1.06/100</f>
        <v>1.06</v>
      </c>
      <c r="AB125">
        <f>B125*0.156/100</f>
        <v>0.156</v>
      </c>
      <c r="AC125">
        <f>B125*0.189/100</f>
        <v>0.18899999999999997</v>
      </c>
      <c r="AD125">
        <f>B125*0.516/100</f>
        <v>0.51600000000000001</v>
      </c>
    </row>
    <row r="126" spans="1:30">
      <c r="A126" s="8" t="s">
        <v>143</v>
      </c>
      <c r="B126" s="10">
        <v>100</v>
      </c>
      <c r="C126" s="3">
        <f>B126*24.55/100</f>
        <v>24.55</v>
      </c>
      <c r="D126" s="4">
        <f>B126*25.5/100</f>
        <v>25.5</v>
      </c>
      <c r="E126">
        <f>B126*8/100</f>
        <v>8</v>
      </c>
      <c r="F126">
        <f>B126*55/100</f>
        <v>55</v>
      </c>
      <c r="G126" s="2">
        <f>B126*4.43/100</f>
        <v>4.43</v>
      </c>
      <c r="H126" s="2">
        <f>B126*115/100</f>
        <v>115</v>
      </c>
      <c r="I126" s="3">
        <f>B126*366/100</f>
        <v>366</v>
      </c>
      <c r="J126" s="2">
        <f>B126*981/100</f>
        <v>981</v>
      </c>
      <c r="K126">
        <f>B126*15/100</f>
        <v>15</v>
      </c>
      <c r="L126" s="2">
        <f>B126*3.01/100</f>
        <v>3.01</v>
      </c>
      <c r="M126" s="5">
        <f>B126*0.866/100</f>
        <v>0.86599999999999999</v>
      </c>
      <c r="N126" s="2">
        <f>B126*1.391/100</f>
        <v>1.391</v>
      </c>
      <c r="O126">
        <f>B126*1.6/100</f>
        <v>1.6</v>
      </c>
      <c r="P126">
        <f>B126*1.8/100</f>
        <v>1.8</v>
      </c>
      <c r="Q126" s="3">
        <f>B126*0.726/100</f>
        <v>0.72599999999999998</v>
      </c>
      <c r="R126">
        <f>B126*0.215/100</f>
        <v>0.215</v>
      </c>
      <c r="S126">
        <f>B126*2.889/100</f>
        <v>2.8889999999999998</v>
      </c>
      <c r="T126">
        <f>B126*95.5/100</f>
        <v>95.5</v>
      </c>
      <c r="U126" s="2">
        <f>B126*1.758/100</f>
        <v>1.758</v>
      </c>
      <c r="V126">
        <f>B126*0.174/100</f>
        <v>0.17399999999999999</v>
      </c>
      <c r="W126" s="3">
        <f>B126*274/100</f>
        <v>274</v>
      </c>
      <c r="X126">
        <f>B126*7/100</f>
        <v>7</v>
      </c>
      <c r="Y126">
        <f>B126*0.09/100</f>
        <v>0.09</v>
      </c>
      <c r="Z126">
        <f>B126*14.5/100</f>
        <v>14.5</v>
      </c>
      <c r="AA126">
        <f>B126*1.16/100</f>
        <v>1.1599999999999999</v>
      </c>
      <c r="AB126">
        <f>B126*0.161/100</f>
        <v>0.161</v>
      </c>
      <c r="AC126">
        <f>B126*0.242/100</f>
        <v>0.24199999999999999</v>
      </c>
      <c r="AD126">
        <f>B126*0.495/100</f>
        <v>0.495</v>
      </c>
    </row>
    <row r="127" spans="1:30">
      <c r="A127" s="8" t="s">
        <v>144</v>
      </c>
      <c r="B127" s="10">
        <v>100</v>
      </c>
      <c r="C127" s="3">
        <f>B127*23.86/100</f>
        <v>23.86</v>
      </c>
      <c r="D127" s="3">
        <f>B127*16.3/100</f>
        <v>16.3</v>
      </c>
      <c r="E127">
        <f>B127*6.6/100</f>
        <v>6.6</v>
      </c>
      <c r="F127">
        <f>B127*132/100</f>
        <v>132</v>
      </c>
      <c r="G127" s="3">
        <f>B127*6.74/100</f>
        <v>6.74</v>
      </c>
      <c r="H127" s="3">
        <f>B127*189/100</f>
        <v>189</v>
      </c>
      <c r="I127" s="2">
        <f>B127*367/100</f>
        <v>367</v>
      </c>
      <c r="J127" s="3">
        <f>B127*1246/100</f>
        <v>1246</v>
      </c>
      <c r="K127">
        <f>B127*15/100</f>
        <v>15</v>
      </c>
      <c r="L127">
        <f>B127*2.68/100</f>
        <v>2.68</v>
      </c>
      <c r="M127" s="4">
        <f>B127*0.941/100</f>
        <v>0.94099999999999995</v>
      </c>
      <c r="N127" s="2">
        <f>B127*1.035/100</f>
        <v>1.0349999999999999</v>
      </c>
      <c r="O127">
        <f>B127*8.2/100</f>
        <v>8.1999999999999993</v>
      </c>
      <c r="P127">
        <f>B127*4.8/100</f>
        <v>4.8</v>
      </c>
      <c r="Q127">
        <f>B127*0.621/100</f>
        <v>0.621</v>
      </c>
      <c r="R127">
        <f>B127*0.233/100</f>
        <v>0.23300000000000001</v>
      </c>
      <c r="S127" s="2">
        <f>B127*2.251/100</f>
        <v>2.2509999999999999</v>
      </c>
      <c r="T127" s="2">
        <f>B127*97.9/100</f>
        <v>97.9</v>
      </c>
      <c r="U127" s="2">
        <f>B127*1.91/100</f>
        <v>1.91</v>
      </c>
      <c r="V127">
        <f>B127*0.382/100</f>
        <v>0.38200000000000001</v>
      </c>
      <c r="W127" s="4">
        <f>B127*625/100</f>
        <v>625</v>
      </c>
      <c r="X127">
        <f>B127*6/100</f>
        <v>6</v>
      </c>
      <c r="Y127">
        <f>B127*0.51/100</f>
        <v>0.51</v>
      </c>
      <c r="Z127">
        <f>B127*9/100</f>
        <v>9</v>
      </c>
      <c r="AA127">
        <f>B127*1.15/100</f>
        <v>1.1499999999999999</v>
      </c>
      <c r="AB127">
        <f>B127*0.348/100</f>
        <v>0.34799999999999998</v>
      </c>
      <c r="AC127">
        <f>B127*0.161/100</f>
        <v>0.161</v>
      </c>
      <c r="AD127">
        <f>B127*0.384/100</f>
        <v>0.38400000000000001</v>
      </c>
    </row>
    <row r="128" spans="1:30">
      <c r="A128" s="8" t="s">
        <v>145</v>
      </c>
      <c r="B128" s="10">
        <v>100</v>
      </c>
      <c r="C128" s="3">
        <f>B128*21.6/100</f>
        <v>21.6</v>
      </c>
      <c r="D128" s="3">
        <f>B128*15.5/100</f>
        <v>15.5</v>
      </c>
      <c r="E128">
        <f>B128*2.12/100</f>
        <v>2.12</v>
      </c>
      <c r="F128">
        <f>B128*123/100</f>
        <v>123</v>
      </c>
      <c r="G128" s="2">
        <f>B128*5.02/100</f>
        <v>5.0199999999999996</v>
      </c>
      <c r="H128" s="3">
        <f>B128*171/100</f>
        <v>171</v>
      </c>
      <c r="I128" s="2">
        <f>B128*352/100</f>
        <v>352</v>
      </c>
      <c r="J128" s="3">
        <f>B128*1483/100</f>
        <v>1483</v>
      </c>
      <c r="K128">
        <f>B128*5/100</f>
        <v>5</v>
      </c>
      <c r="L128" s="2">
        <f>B128*3.65/100</f>
        <v>3.65</v>
      </c>
      <c r="M128" s="5">
        <f>B128*0.841/100</f>
        <v>0.84099999999999997</v>
      </c>
      <c r="N128" s="2">
        <f>B128*1.06/100</f>
        <v>1.06</v>
      </c>
      <c r="O128">
        <f>B128*3.2/100</f>
        <v>3.2</v>
      </c>
      <c r="P128">
        <f>B128*0/100</f>
        <v>0</v>
      </c>
      <c r="Q128" s="5">
        <f>B128*0.9/100</f>
        <v>0.9</v>
      </c>
      <c r="R128">
        <f>B128*0.193/100</f>
        <v>0.193</v>
      </c>
      <c r="S128">
        <f>B128*1.955/100</f>
        <v>1.9550000000000001</v>
      </c>
      <c r="T128">
        <f>B128*66.4/100</f>
        <v>66.400000000000006</v>
      </c>
      <c r="U128">
        <f>B128*0.899/100</f>
        <v>0.89900000000000002</v>
      </c>
      <c r="V128">
        <f>B128*0.286/100</f>
        <v>0.28599999999999998</v>
      </c>
      <c r="W128" s="4">
        <f>B128*444/100</f>
        <v>444</v>
      </c>
      <c r="X128">
        <f>B128*0/100</f>
        <v>0</v>
      </c>
      <c r="Y128">
        <f>B128*0.21/100</f>
        <v>0.21</v>
      </c>
      <c r="Z128">
        <f>B128*5.6/100</f>
        <v>5.6</v>
      </c>
      <c r="AA128">
        <f>B128*1.42/100</f>
        <v>1.42</v>
      </c>
      <c r="AB128">
        <f>B128*0.366/100</f>
        <v>0.36599999999999999</v>
      </c>
      <c r="AC128">
        <f>B128*0.123/100</f>
        <v>0.12300000000000001</v>
      </c>
      <c r="AD128">
        <f>B128*0.61/100</f>
        <v>0.61</v>
      </c>
    </row>
    <row r="129" spans="1:30">
      <c r="A129" s="8" t="s">
        <v>146</v>
      </c>
      <c r="B129" s="10">
        <v>100</v>
      </c>
      <c r="C129" s="3">
        <f>B129*19.3/100</f>
        <v>19.3</v>
      </c>
      <c r="D129" s="3">
        <f>B129*17.4/100</f>
        <v>17.399999999999999</v>
      </c>
      <c r="E129">
        <f>B129*10.7/100</f>
        <v>10.7</v>
      </c>
      <c r="F129">
        <f>B129*105/100</f>
        <v>105</v>
      </c>
      <c r="G129" s="3">
        <f>B129*6.24/100</f>
        <v>6.24</v>
      </c>
      <c r="H129" s="2">
        <f>B129*115/100</f>
        <v>115</v>
      </c>
      <c r="I129" s="2">
        <f>B129*366/100</f>
        <v>366</v>
      </c>
      <c r="J129" s="2">
        <f>B129*875/100</f>
        <v>875</v>
      </c>
      <c r="K129">
        <f>B129*24/100</f>
        <v>24</v>
      </c>
      <c r="L129" s="2">
        <f>B129*3.43/100</f>
        <v>3.43</v>
      </c>
      <c r="M129" s="5">
        <f>B129*0.847/100</f>
        <v>0.84699999999999998</v>
      </c>
      <c r="N129" s="4">
        <f>B129*2.204/100</f>
        <v>2.2040000000000002</v>
      </c>
      <c r="O129">
        <f>B129*8.2/100</f>
        <v>8.1999999999999993</v>
      </c>
      <c r="P129">
        <f>B129*4/100</f>
        <v>4</v>
      </c>
      <c r="Q129" s="2">
        <f>B129*0.477/100</f>
        <v>0.47699999999999998</v>
      </c>
      <c r="R129">
        <f>B129*0.212/100</f>
        <v>0.21199999999999999</v>
      </c>
      <c r="S129">
        <f>B129*1.541/100</f>
        <v>1.5409999999999999</v>
      </c>
      <c r="T129" s="2">
        <f>B129*95.2/100</f>
        <v>95.2</v>
      </c>
      <c r="U129" s="2">
        <f>B129*1.588/100</f>
        <v>1.5880000000000001</v>
      </c>
      <c r="V129" s="2">
        <f>B129*0.535/100</f>
        <v>0.53500000000000003</v>
      </c>
      <c r="W129" s="4">
        <f>B129*557/100</f>
        <v>557</v>
      </c>
      <c r="X129">
        <f>B129*3/100</f>
        <v>3</v>
      </c>
      <c r="Y129">
        <f>B129*0.82/100</f>
        <v>0.82</v>
      </c>
      <c r="Z129">
        <f>B129*9/100</f>
        <v>9</v>
      </c>
      <c r="AA129">
        <f>B129*6.04/100</f>
        <v>6.04</v>
      </c>
      <c r="AB129">
        <f>B129*0.626/100</f>
        <v>0.626</v>
      </c>
      <c r="AC129">
        <f>B129*1.358/100</f>
        <v>1.3580000000000001</v>
      </c>
      <c r="AD129">
        <f>B129*2.694/100</f>
        <v>2.694</v>
      </c>
    </row>
    <row r="130" spans="1:30">
      <c r="A130" s="8" t="s">
        <v>147</v>
      </c>
      <c r="B130" s="10">
        <v>100</v>
      </c>
      <c r="C130">
        <f>B130*8.08/100</f>
        <v>8.08</v>
      </c>
      <c r="D130">
        <f>B130*0.3/100</f>
        <v>0.3</v>
      </c>
      <c r="F130" s="5">
        <f>B130*350/100</f>
        <v>350</v>
      </c>
      <c r="G130" s="2">
        <f>B130*5.36/100</f>
        <v>5.36</v>
      </c>
      <c r="H130">
        <f>B130*30/100</f>
        <v>30</v>
      </c>
      <c r="I130">
        <f>B130*97/100</f>
        <v>97</v>
      </c>
      <c r="J130">
        <f>B130*121/100</f>
        <v>121</v>
      </c>
      <c r="K130">
        <f>B130*7/100</f>
        <v>7</v>
      </c>
      <c r="L130">
        <f>B130*0.8/100</f>
        <v>0.8</v>
      </c>
      <c r="M130">
        <f>B130*0.193/100</f>
        <v>0.193</v>
      </c>
      <c r="N130">
        <f>B130*0.605/100</f>
        <v>0.60499999999999998</v>
      </c>
      <c r="O130">
        <f>B130*8.9/100</f>
        <v>8.9</v>
      </c>
      <c r="P130">
        <f>B130*0.1/100</f>
        <v>0.1</v>
      </c>
      <c r="Q130">
        <f>B130*0.081/100</f>
        <v>8.1000000000000003E-2</v>
      </c>
      <c r="R130">
        <f>B130*0.052/100</f>
        <v>5.2000000000000005E-2</v>
      </c>
      <c r="S130">
        <f>B130*0.195/100</f>
        <v>0.19500000000000001</v>
      </c>
      <c r="U130">
        <f>B130*0.068/100</f>
        <v>6.8000000000000005E-2</v>
      </c>
      <c r="V130">
        <f>B130*0.047/100</f>
        <v>4.7E-2</v>
      </c>
      <c r="W130">
        <f>B130*15/100</f>
        <v>15</v>
      </c>
      <c r="X130">
        <f>B130*4/100</f>
        <v>4</v>
      </c>
      <c r="AA130">
        <f>B130*4.78/100</f>
        <v>4.78</v>
      </c>
      <c r="AB130">
        <f>B130*0.691/100</f>
        <v>0.69099999999999995</v>
      </c>
      <c r="AC130">
        <f>B130*1.056/100</f>
        <v>1.056</v>
      </c>
      <c r="AD130">
        <f>B130*2.699/100</f>
        <v>2.6989999999999998</v>
      </c>
    </row>
    <row r="131" spans="1:30">
      <c r="A131" s="8" t="s">
        <v>148</v>
      </c>
      <c r="B131" s="10">
        <v>100</v>
      </c>
      <c r="C131">
        <f>B131*5.42/100</f>
        <v>5.42</v>
      </c>
      <c r="D131">
        <f>B131*5.1/100</f>
        <v>5.0999999999999996</v>
      </c>
      <c r="E131">
        <f>B131*5.67/100</f>
        <v>5.67</v>
      </c>
      <c r="F131">
        <f>B131*25/100</f>
        <v>25</v>
      </c>
      <c r="G131">
        <f>B131*1.47/100</f>
        <v>1.47</v>
      </c>
      <c r="H131">
        <f>B131*33/100</f>
        <v>33</v>
      </c>
      <c r="I131">
        <f>B131*108/100</f>
        <v>108</v>
      </c>
      <c r="J131">
        <f>B131*244/100</f>
        <v>244</v>
      </c>
      <c r="K131">
        <f>B131*5/100</f>
        <v>5</v>
      </c>
      <c r="L131">
        <f>B131*1.24/100</f>
        <v>1.24</v>
      </c>
      <c r="M131">
        <f>B131*0.176/100</f>
        <v>0.17599999999999999</v>
      </c>
      <c r="N131">
        <f>B131*0.41/100</f>
        <v>0.41</v>
      </c>
      <c r="O131">
        <f>B131*1.8/100</f>
        <v>1.8</v>
      </c>
      <c r="P131" s="3">
        <f>B131*40/100</f>
        <v>40</v>
      </c>
      <c r="Q131">
        <f>B131*0.266/100</f>
        <v>0.26600000000000001</v>
      </c>
      <c r="R131">
        <f>B131*0.132/100</f>
        <v>0.13200000000000001</v>
      </c>
      <c r="S131" s="2">
        <f>B131*2.09/100</f>
        <v>2.09</v>
      </c>
      <c r="T131">
        <f>B131*28.4/100</f>
        <v>28.4</v>
      </c>
      <c r="U131">
        <f>B131*0.104/100</f>
        <v>0.10400000000000001</v>
      </c>
      <c r="V131">
        <f>B131*0.169/100</f>
        <v>0.16900000000000001</v>
      </c>
      <c r="W131">
        <f>B131*65/100</f>
        <v>65</v>
      </c>
      <c r="X131" s="6">
        <f>B131*38/100</f>
        <v>38</v>
      </c>
      <c r="Y131">
        <f>B131*0.13/100</f>
        <v>0.13</v>
      </c>
      <c r="Z131" s="2">
        <f>B131*24.8/100</f>
        <v>24.8</v>
      </c>
      <c r="AA131">
        <f>B131*0.4/100</f>
        <v>0.4</v>
      </c>
      <c r="AB131">
        <f>B131*0.071/100</f>
        <v>7.0999999999999994E-2</v>
      </c>
      <c r="AC131">
        <f>B131*0.035/100</f>
        <v>3.5000000000000003E-2</v>
      </c>
      <c r="AD131">
        <f>B131*0.187/100</f>
        <v>0.187</v>
      </c>
    </row>
    <row r="132" spans="1:30">
      <c r="A132" s="8"/>
      <c r="B132" s="10"/>
      <c r="F132" s="2"/>
      <c r="K132" s="2"/>
    </row>
    <row r="133" spans="1:30">
      <c r="A133" s="8"/>
      <c r="B133" s="10"/>
      <c r="G133" s="2"/>
      <c r="Q133" s="2"/>
      <c r="R133" s="2"/>
      <c r="S133" s="2"/>
      <c r="W133" s="2"/>
      <c r="Z133" s="2"/>
    </row>
    <row r="134" spans="1:30">
      <c r="A134" s="8"/>
      <c r="B134" s="10"/>
      <c r="C134" s="4"/>
      <c r="F134" s="3"/>
      <c r="G134" s="3"/>
      <c r="H134" s="3"/>
      <c r="I134" s="2"/>
      <c r="J134" s="3"/>
      <c r="K134" s="3"/>
      <c r="L134" s="2"/>
      <c r="N134" s="3"/>
      <c r="Q134" s="3"/>
      <c r="R134" s="3"/>
      <c r="S134" s="3"/>
      <c r="T134" s="2"/>
      <c r="U134" s="3"/>
      <c r="V134" s="2"/>
      <c r="W134" s="2"/>
      <c r="Y134" s="3"/>
    </row>
    <row r="135" spans="1:30">
      <c r="A135" s="8" t="s">
        <v>149</v>
      </c>
      <c r="B135" s="10">
        <v>100</v>
      </c>
      <c r="Y135">
        <f>B135*4/100</f>
        <v>4</v>
      </c>
      <c r="AB135">
        <f>B135*6.3/100</f>
        <v>6.3</v>
      </c>
      <c r="AC135">
        <f>B135*60/100</f>
        <v>60</v>
      </c>
      <c r="AD135">
        <f>B135*29.3/100</f>
        <v>29.3</v>
      </c>
    </row>
    <row r="136" spans="1:30">
      <c r="A136" s="8" t="s">
        <v>150</v>
      </c>
      <c r="B136" s="10">
        <v>100</v>
      </c>
      <c r="Y136">
        <f>B136*0/100</f>
        <v>0</v>
      </c>
      <c r="Z136">
        <f>B136*0/100</f>
        <v>0</v>
      </c>
      <c r="AB136">
        <f>B136*11.56/100</f>
        <v>11.56</v>
      </c>
      <c r="AC136">
        <f>B136*70.554/100</f>
        <v>70.554000000000002</v>
      </c>
      <c r="AD136">
        <f>B136*13.486/100</f>
        <v>13.486000000000001</v>
      </c>
    </row>
    <row r="137" spans="1:30">
      <c r="A137" s="8" t="s">
        <v>151</v>
      </c>
      <c r="B137" s="10">
        <v>100</v>
      </c>
      <c r="S137" s="2"/>
      <c r="Y137" s="2">
        <f>B137*15.69/100</f>
        <v>15.69</v>
      </c>
      <c r="Z137">
        <f>B137*0.7/100</f>
        <v>0.7</v>
      </c>
      <c r="AB137">
        <f>B137*16.9/100</f>
        <v>16.899999999999999</v>
      </c>
      <c r="AC137">
        <f>B137*46.2/100</f>
        <v>46.2</v>
      </c>
      <c r="AD137">
        <f>B137*32/100</f>
        <v>32</v>
      </c>
    </row>
    <row r="138" spans="1:30">
      <c r="A138" s="8" t="s">
        <v>152</v>
      </c>
      <c r="B138" s="10">
        <v>100</v>
      </c>
      <c r="Y138" s="5">
        <f>B138*28.8/100</f>
        <v>28.8</v>
      </c>
      <c r="AB138">
        <f>B138*9.6/100</f>
        <v>9.6</v>
      </c>
      <c r="AC138">
        <f>B138*16.1/100</f>
        <v>16.100000000000001</v>
      </c>
      <c r="AD138">
        <f>B138*69.9/100</f>
        <v>69.900000000000006</v>
      </c>
    </row>
    <row r="139" spans="1:30">
      <c r="A139" s="8" t="s">
        <v>153</v>
      </c>
      <c r="B139" s="10">
        <v>100</v>
      </c>
      <c r="P139" s="2"/>
      <c r="T139" s="2"/>
      <c r="U139" s="2"/>
      <c r="V139" s="2"/>
      <c r="W139" s="2"/>
      <c r="Y139">
        <f>B139*0/100</f>
        <v>0</v>
      </c>
      <c r="Z139">
        <f>B139*0/100</f>
        <v>0</v>
      </c>
      <c r="AB139">
        <f>B139*11.582/100</f>
        <v>11.582000000000001</v>
      </c>
      <c r="AC139">
        <f>B139*59.187/100</f>
        <v>59.186999999999998</v>
      </c>
      <c r="AD139">
        <f>B139*21.23/100</f>
        <v>21.23</v>
      </c>
    </row>
    <row r="140" spans="1:30">
      <c r="A140" s="8" t="s">
        <v>154</v>
      </c>
      <c r="B140" s="10">
        <v>100</v>
      </c>
      <c r="Y140">
        <f>B140*0.4/100</f>
        <v>0.4</v>
      </c>
      <c r="Z140">
        <f>B140*15/100</f>
        <v>15</v>
      </c>
      <c r="AB140">
        <f>B140*9.1/100</f>
        <v>9.1</v>
      </c>
      <c r="AC140">
        <f>B140*22.8/100</f>
        <v>22.8</v>
      </c>
      <c r="AD140">
        <f>B140*63.3/100</f>
        <v>63.3</v>
      </c>
    </row>
    <row r="141" spans="1:30">
      <c r="A141" s="8" t="s">
        <v>155</v>
      </c>
      <c r="B141" s="10">
        <v>100</v>
      </c>
      <c r="Y141">
        <f>B141*1.8/100</f>
        <v>1.8</v>
      </c>
      <c r="Z141" s="2">
        <f>B141*24.7/100</f>
        <v>24.7</v>
      </c>
      <c r="AB141">
        <f>B141*59.7/100</f>
        <v>59.7</v>
      </c>
      <c r="AC141">
        <f>B141*32.9/100</f>
        <v>32.9</v>
      </c>
      <c r="AD141">
        <f>B141*3/100</f>
        <v>3</v>
      </c>
    </row>
    <row r="142" spans="1:30">
      <c r="A142" s="8" t="s">
        <v>156</v>
      </c>
      <c r="B142" s="10">
        <v>100</v>
      </c>
      <c r="Y142">
        <f>B142*0.09/100</f>
        <v>0.09</v>
      </c>
      <c r="Z142">
        <f>B142*0.5/100</f>
        <v>0.5</v>
      </c>
      <c r="AB142">
        <f>B142*86.5/100</f>
        <v>86.5</v>
      </c>
      <c r="AC142">
        <f>B142*5.8/100</f>
        <v>5.8</v>
      </c>
      <c r="AD142">
        <f>B142*1.8/100</f>
        <v>1.8</v>
      </c>
    </row>
    <row r="143" spans="1:30">
      <c r="A143" s="8" t="s">
        <v>157</v>
      </c>
      <c r="B143" s="10">
        <v>100</v>
      </c>
      <c r="F143" s="2"/>
      <c r="Y143" s="2">
        <f>B143*14.3/100</f>
        <v>14.3</v>
      </c>
      <c r="Z143">
        <f>B143*1.9/100</f>
        <v>1.9</v>
      </c>
      <c r="AB143">
        <f>B143*12.948/100</f>
        <v>12.948</v>
      </c>
      <c r="AC143">
        <f>B143*27.576/100</f>
        <v>27.576000000000001</v>
      </c>
      <c r="AD143">
        <f>B143*54.677/100</f>
        <v>54.677</v>
      </c>
    </row>
    <row r="144" spans="1:30">
      <c r="A144" s="8" t="s">
        <v>158</v>
      </c>
      <c r="B144" s="10">
        <v>100</v>
      </c>
      <c r="F144" s="2"/>
      <c r="N144" s="2"/>
      <c r="U144" s="2"/>
      <c r="W144" s="2"/>
      <c r="X144" s="2"/>
      <c r="Y144">
        <f>B144*1.4/100</f>
        <v>1.4</v>
      </c>
      <c r="Z144">
        <f>B144*13.6/100</f>
        <v>13.6</v>
      </c>
      <c r="AB144">
        <f>B144*14.2/100</f>
        <v>14.2</v>
      </c>
      <c r="AC144">
        <f>B144*39.7/100</f>
        <v>39.700000000000003</v>
      </c>
      <c r="AD144">
        <f>B144*41.7/100</f>
        <v>41.7</v>
      </c>
    </row>
    <row r="145" spans="1:30">
      <c r="A145" s="8" t="s">
        <v>159</v>
      </c>
      <c r="B145" s="10">
        <v>100</v>
      </c>
      <c r="Y145">
        <f>B145*0.47/100</f>
        <v>0.47</v>
      </c>
      <c r="Z145">
        <f>B145*9.3/100</f>
        <v>9.3000000000000007</v>
      </c>
      <c r="AB145">
        <f>B145*8.976/100</f>
        <v>8.9760000000000009</v>
      </c>
      <c r="AC145">
        <f>B145*18.438/100</f>
        <v>18.437999999999999</v>
      </c>
      <c r="AD145">
        <f>B145*67.849/100</f>
        <v>67.849000000000004</v>
      </c>
    </row>
    <row r="146" spans="1:30">
      <c r="A146" s="8" t="s">
        <v>160</v>
      </c>
      <c r="B146" s="10">
        <v>100</v>
      </c>
      <c r="Y146" s="2">
        <f>B146*11.4/100</f>
        <v>11.4</v>
      </c>
      <c r="AB146">
        <f>B146*13.5/100</f>
        <v>13.5</v>
      </c>
      <c r="AC146">
        <f>B146*19.7/100</f>
        <v>19.7</v>
      </c>
      <c r="AD146">
        <f>B146*62.4/100</f>
        <v>62.4</v>
      </c>
    </row>
    <row r="147" spans="1:30">
      <c r="A147" s="8" t="s">
        <v>161</v>
      </c>
      <c r="B147" s="10">
        <v>100</v>
      </c>
      <c r="Y147" s="5">
        <f>B147*39.2/100</f>
        <v>39.200000000000003</v>
      </c>
      <c r="Z147">
        <f>B147*7/100</f>
        <v>7</v>
      </c>
      <c r="AB147">
        <f>B147*8.2/100</f>
        <v>8.1999999999999993</v>
      </c>
      <c r="AC147">
        <f>B147*69.9/100</f>
        <v>69.900000000000006</v>
      </c>
      <c r="AD147">
        <f>B147*17.4/100</f>
        <v>17.399999999999999</v>
      </c>
    </row>
    <row r="148" spans="1:30">
      <c r="A148" s="8" t="s">
        <v>162</v>
      </c>
      <c r="B148" s="10">
        <v>100</v>
      </c>
      <c r="R148" s="2"/>
      <c r="X148" s="2"/>
      <c r="Y148" s="2">
        <f>B148*14.35/100</f>
        <v>14.35</v>
      </c>
      <c r="Z148" s="3">
        <f>B148*60.2/100</f>
        <v>60.2</v>
      </c>
      <c r="AB148">
        <f>B148*13.808/100</f>
        <v>13.808</v>
      </c>
      <c r="AC148">
        <f>B148*72.961/100</f>
        <v>72.960999999999999</v>
      </c>
      <c r="AD148">
        <f>B148*10.523/100</f>
        <v>10.523</v>
      </c>
    </row>
    <row r="149" spans="1:30">
      <c r="A149" s="8" t="s">
        <v>163</v>
      </c>
      <c r="B149" s="10">
        <v>100</v>
      </c>
      <c r="Y149" s="2">
        <f>B149*15.94/100</f>
        <v>15.94</v>
      </c>
      <c r="Z149">
        <f>B149*8/100</f>
        <v>8</v>
      </c>
      <c r="AB149">
        <f>B149*49.3/100</f>
        <v>49.3</v>
      </c>
      <c r="AC149">
        <f>B149*37/100</f>
        <v>37</v>
      </c>
      <c r="AD149">
        <f>B149*9.3/100</f>
        <v>9.3000000000000007</v>
      </c>
    </row>
    <row r="150" spans="1:30">
      <c r="A150" s="8" t="s">
        <v>164</v>
      </c>
      <c r="B150" s="10">
        <v>100</v>
      </c>
      <c r="Y150">
        <f>B150*3.81/100</f>
        <v>3.81</v>
      </c>
      <c r="Z150" s="2">
        <f>B150*24.7/100</f>
        <v>24.7</v>
      </c>
      <c r="AB150">
        <f>B150*81.5/100</f>
        <v>81.5</v>
      </c>
      <c r="AC150">
        <f>B150*11.4/100</f>
        <v>11.4</v>
      </c>
      <c r="AD150">
        <f>B150*1.6/100</f>
        <v>1.6</v>
      </c>
    </row>
    <row r="151" spans="1:30">
      <c r="A151" s="8" t="s">
        <v>165</v>
      </c>
      <c r="B151" s="10">
        <v>100</v>
      </c>
      <c r="G151" s="2"/>
      <c r="Q151" s="2"/>
      <c r="S151" s="2"/>
      <c r="Y151" s="4">
        <f>B151*41.08/100</f>
        <v>41.08</v>
      </c>
      <c r="Z151">
        <f>B151*5.4/100</f>
        <v>5.4</v>
      </c>
      <c r="AB151">
        <f>B151*9.009/100</f>
        <v>9.0090000000000003</v>
      </c>
      <c r="AC151">
        <f>B151*57.334/100</f>
        <v>57.334000000000003</v>
      </c>
      <c r="AD151">
        <f>B151*28.962/100</f>
        <v>28.962</v>
      </c>
    </row>
    <row r="152" spans="1:30">
      <c r="A152" s="8" t="s">
        <v>166</v>
      </c>
      <c r="B152" s="10">
        <v>100</v>
      </c>
      <c r="F152" s="2"/>
      <c r="G152" s="2"/>
      <c r="H152" s="2"/>
      <c r="J152" s="2"/>
      <c r="K152" s="2"/>
      <c r="N152" s="3"/>
      <c r="P152" s="2"/>
      <c r="R152" s="2"/>
      <c r="V152" s="2"/>
      <c r="W152" s="2"/>
      <c r="X152" s="2"/>
      <c r="Y152" s="4">
        <f>B152*149.4/100</f>
        <v>149.4</v>
      </c>
      <c r="Z152" s="2">
        <f>B152*24.7/100</f>
        <v>24.7</v>
      </c>
      <c r="AB152">
        <f>B152*18.8/100</f>
        <v>18.8</v>
      </c>
      <c r="AC152">
        <f>B152*15.1/100</f>
        <v>15.1</v>
      </c>
      <c r="AD152">
        <f>B152*61.7/100</f>
        <v>61.7</v>
      </c>
    </row>
    <row r="153" spans="1:30">
      <c r="A153" s="8" t="s">
        <v>167</v>
      </c>
      <c r="B153" s="10">
        <v>100</v>
      </c>
      <c r="Y153" s="2">
        <f>B153*17.46/100</f>
        <v>17.46</v>
      </c>
      <c r="Z153" s="3">
        <f>B153*71.3/100</f>
        <v>71.3</v>
      </c>
      <c r="AB153">
        <f>B153*7.365/100</f>
        <v>7.3650000000000002</v>
      </c>
      <c r="AC153">
        <f>B153*63.276/100</f>
        <v>63.276000000000003</v>
      </c>
      <c r="AD153">
        <f>B153*28.142/100</f>
        <v>28.141999999999999</v>
      </c>
    </row>
    <row r="154" spans="1:30">
      <c r="A154" s="8" t="s">
        <v>168</v>
      </c>
      <c r="B154" s="10">
        <v>100</v>
      </c>
      <c r="C154" s="3"/>
      <c r="F154" s="2"/>
      <c r="G154" s="2"/>
      <c r="N154" s="3"/>
      <c r="O154" s="2"/>
      <c r="P154" s="2"/>
      <c r="Q154" s="2"/>
      <c r="R154" s="2"/>
      <c r="U154" s="2"/>
      <c r="V154" s="3"/>
      <c r="Y154" s="2">
        <f>B154*32.3/100</f>
        <v>32.299999999999997</v>
      </c>
      <c r="Z154" s="2">
        <f>B154*24.7/100</f>
        <v>24.7</v>
      </c>
      <c r="AB154">
        <f>B154*19.7/100</f>
        <v>19.7</v>
      </c>
      <c r="AC154">
        <f>B154*39.3/100</f>
        <v>39.299999999999997</v>
      </c>
      <c r="AD154">
        <f>B154*35/100</f>
        <v>35</v>
      </c>
    </row>
    <row r="155" spans="1:30">
      <c r="A155" s="8" t="s">
        <v>169</v>
      </c>
      <c r="B155" s="10">
        <v>100</v>
      </c>
      <c r="F155" s="2"/>
      <c r="G155" s="2"/>
      <c r="H155" s="2"/>
      <c r="N155" s="2"/>
      <c r="P155" s="2"/>
      <c r="R155" s="2"/>
      <c r="V155" s="2"/>
      <c r="X155" s="2"/>
      <c r="Y155">
        <f>B155*8.18/100</f>
        <v>8.18</v>
      </c>
      <c r="Z155" s="4">
        <f>B155*183.9/100</f>
        <v>183.9</v>
      </c>
      <c r="AB155">
        <f>B155*15.65/100</f>
        <v>15.65</v>
      </c>
      <c r="AC155">
        <f>B155*22.783/100</f>
        <v>22.783000000000001</v>
      </c>
      <c r="AD155">
        <f>B155*57.74/100</f>
        <v>57.74</v>
      </c>
    </row>
    <row r="156" spans="1:30">
      <c r="A156" s="8" t="s">
        <v>170</v>
      </c>
      <c r="B156" s="10">
        <v>100</v>
      </c>
      <c r="Y156" s="5">
        <f>B156*35.3/100</f>
        <v>35.299999999999997</v>
      </c>
      <c r="Z156" s="2">
        <f>B156*24.7/100</f>
        <v>24.7</v>
      </c>
      <c r="AB156">
        <f>B156*25.9/100</f>
        <v>25.9</v>
      </c>
      <c r="AC156">
        <f>B156*17.8/100</f>
        <v>17.8</v>
      </c>
      <c r="AD156">
        <f>B156*51.9/100</f>
        <v>51.9</v>
      </c>
    </row>
    <row r="157" spans="1:30">
      <c r="B157" s="10"/>
    </row>
    <row r="158" spans="1:30">
      <c r="B158" s="10"/>
    </row>
    <row r="159" spans="1:30">
      <c r="B159" s="10"/>
    </row>
    <row r="161" spans="1:30">
      <c r="A161" s="1" t="s">
        <v>171</v>
      </c>
      <c r="C161">
        <f>SUM(C2:C156)</f>
        <v>710.65</v>
      </c>
      <c r="D161">
        <f>SUM(D2:D156)</f>
        <v>574</v>
      </c>
      <c r="E161">
        <f>SUM(E2:E156)</f>
        <v>565.7800000000002</v>
      </c>
      <c r="F161">
        <f>SUM(F2:F156)</f>
        <v>8167</v>
      </c>
      <c r="G161">
        <f>SUM(G2:G156)</f>
        <v>256.72000000000003</v>
      </c>
      <c r="H161">
        <f>SUM(H2:H156)</f>
        <v>8637</v>
      </c>
      <c r="I161">
        <f>SUM(I2:I156)</f>
        <v>17437</v>
      </c>
      <c r="J161">
        <f>SUM(J2:J156)</f>
        <v>41974</v>
      </c>
      <c r="K161">
        <f>SUM(K2:K156)</f>
        <v>4014</v>
      </c>
      <c r="L161">
        <f>SUM(L2:L156)</f>
        <v>146.09000000000003</v>
      </c>
      <c r="M161">
        <f>SUM(M2:M156)</f>
        <v>48.367000000000004</v>
      </c>
      <c r="N161">
        <f>SUM(N2:N156)</f>
        <v>101.375</v>
      </c>
      <c r="O161">
        <f>SUM(O2:O156)</f>
        <v>2374.6999999999994</v>
      </c>
      <c r="P161">
        <f>SUM(P2:P156)</f>
        <v>2264.3000000000015</v>
      </c>
      <c r="Q161">
        <f>SUM(Q2:Q156)</f>
        <v>23.967999999999989</v>
      </c>
      <c r="R161">
        <f>SUM(R2:R156)</f>
        <v>15.814999999999992</v>
      </c>
      <c r="S161">
        <f>SUM(S2:S156)</f>
        <v>169.87699999999998</v>
      </c>
      <c r="T161">
        <f>SUM(T2:T156)</f>
        <v>2113.9999999999995</v>
      </c>
      <c r="U161">
        <f>SUM(U2:U156)</f>
        <v>62.887999999999991</v>
      </c>
      <c r="V161">
        <f>SUM(V2:V156)</f>
        <v>23.206000000000003</v>
      </c>
      <c r="W161">
        <f>SUM(W2:W156)</f>
        <v>7906</v>
      </c>
      <c r="X161">
        <f>SUM(X2:X156)</f>
        <v>6216</v>
      </c>
      <c r="Y161">
        <f>SUM(Y2:Y156)</f>
        <v>566.28</v>
      </c>
      <c r="Z161">
        <f>SUM(Z2:Z156)</f>
        <v>871.59999999999991</v>
      </c>
      <c r="AA161">
        <f>SUM(AA2:AA156)</f>
        <v>820.42999999999984</v>
      </c>
      <c r="AB161">
        <f>SUM(AB2:AB156)</f>
        <v>639.07399999999996</v>
      </c>
      <c r="AC161">
        <f>SUM(AC2:AC156)</f>
        <v>1129.1329999999998</v>
      </c>
      <c r="AD161">
        <f>SUM(AD2:AD156)</f>
        <v>1089.3330000000001</v>
      </c>
    </row>
    <row r="162" spans="1:30">
      <c r="A162" s="1" t="s">
        <v>172</v>
      </c>
      <c r="C162" s="10">
        <v>60</v>
      </c>
      <c r="D162" s="10">
        <v>50</v>
      </c>
      <c r="E162" s="10"/>
      <c r="F162" s="10">
        <v>1000</v>
      </c>
      <c r="G162" s="10">
        <v>8</v>
      </c>
      <c r="H162" s="10">
        <v>350</v>
      </c>
      <c r="I162" s="10">
        <v>800</v>
      </c>
      <c r="J162" s="10">
        <v>4700</v>
      </c>
      <c r="K162" s="10">
        <v>1500</v>
      </c>
      <c r="L162" s="10">
        <v>12</v>
      </c>
      <c r="M162" s="10">
        <v>1</v>
      </c>
      <c r="N162" s="10">
        <v>2.1</v>
      </c>
      <c r="O162" s="10">
        <v>55</v>
      </c>
      <c r="P162" s="10">
        <v>200</v>
      </c>
      <c r="Q162" s="10">
        <v>1.3</v>
      </c>
      <c r="R162" s="10">
        <v>1.3</v>
      </c>
      <c r="S162" s="10">
        <v>16</v>
      </c>
      <c r="T162" s="10">
        <v>500</v>
      </c>
      <c r="U162" s="10">
        <v>5</v>
      </c>
      <c r="V162" s="10">
        <v>1.3</v>
      </c>
      <c r="W162" s="10">
        <v>200</v>
      </c>
      <c r="X162" s="10">
        <v>1000</v>
      </c>
      <c r="Y162" s="10">
        <v>15</v>
      </c>
      <c r="Z162" s="10">
        <v>120</v>
      </c>
      <c r="AA162" s="10"/>
      <c r="AB162" s="10">
        <v>20</v>
      </c>
      <c r="AC162" s="10"/>
      <c r="AD162" s="10"/>
    </row>
    <row r="163" spans="1:30">
      <c r="A163" s="1" t="s">
        <v>173</v>
      </c>
      <c r="C163" s="11">
        <f>C161/C162</f>
        <v>11.844166666666666</v>
      </c>
      <c r="D163" s="11">
        <f>D161/D162</f>
        <v>11.48</v>
      </c>
      <c r="E163" s="11" t="e">
        <f>E161/E162</f>
        <v>#DIV/0!</v>
      </c>
      <c r="F163" s="11">
        <f>F161/F162</f>
        <v>8.1669999999999998</v>
      </c>
      <c r="G163" s="11">
        <f>G161/G162</f>
        <v>32.090000000000003</v>
      </c>
      <c r="H163" s="11">
        <f>H161/H162</f>
        <v>24.677142857142858</v>
      </c>
      <c r="I163" s="11">
        <f>I161/I162</f>
        <v>21.796250000000001</v>
      </c>
      <c r="J163" s="11">
        <f>J161/J162</f>
        <v>8.9306382978723402</v>
      </c>
      <c r="K163" s="11">
        <f>K161/K162</f>
        <v>2.6760000000000002</v>
      </c>
      <c r="L163" s="11">
        <f>L161/L162</f>
        <v>12.17416666666667</v>
      </c>
      <c r="M163" s="11">
        <f>M161/M162</f>
        <v>48.367000000000004</v>
      </c>
      <c r="N163" s="11">
        <f>N161/N162</f>
        <v>48.273809523809518</v>
      </c>
      <c r="O163" s="11">
        <f>O161/O162</f>
        <v>43.176363636363625</v>
      </c>
      <c r="P163" s="11">
        <f>P161/P162</f>
        <v>11.321500000000007</v>
      </c>
      <c r="Q163" s="11">
        <f>Q161/Q162</f>
        <v>18.436923076923069</v>
      </c>
      <c r="R163" s="11">
        <f>R161/R162</f>
        <v>12.165384615384609</v>
      </c>
      <c r="S163" s="11">
        <f>S161/S162</f>
        <v>10.617312499999999</v>
      </c>
      <c r="T163" s="11">
        <f>T161/T162</f>
        <v>4.2279999999999989</v>
      </c>
      <c r="U163" s="11">
        <f>U161/U162</f>
        <v>12.577599999999999</v>
      </c>
      <c r="V163" s="11">
        <f>V161/V162</f>
        <v>17.850769230769231</v>
      </c>
      <c r="W163" s="11">
        <f>W161/W162</f>
        <v>39.53</v>
      </c>
      <c r="X163" s="11">
        <f>X161/X162</f>
        <v>6.2160000000000002</v>
      </c>
      <c r="Y163" s="11">
        <f>Y161/Y162</f>
        <v>37.751999999999995</v>
      </c>
      <c r="Z163" s="11">
        <f>Z161/Z162</f>
        <v>7.2633333333333328</v>
      </c>
      <c r="AA163" s="11" t="e">
        <f>AA161/AA162</f>
        <v>#DIV/0!</v>
      </c>
      <c r="AB163" s="11">
        <f>AB161/AB162</f>
        <v>31.953699999999998</v>
      </c>
      <c r="AC163" s="11" t="e">
        <f>AC161/AC162</f>
        <v>#DIV/0!</v>
      </c>
      <c r="AD163" s="11" t="e">
        <f>AD161/AD162</f>
        <v>#DIV/0!</v>
      </c>
    </row>
  </sheetData>
  <sortState xmlns:xlrd2="http://schemas.microsoft.com/office/spreadsheetml/2017/richdata2" ref="A125:AD131">
    <sortCondition descending="1" ref="C124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ivanova.margarita0702</cp:lastModifiedBy>
  <cp:revision/>
  <dcterms:created xsi:type="dcterms:W3CDTF">2006-09-16T00:00:00Z</dcterms:created>
  <dcterms:modified xsi:type="dcterms:W3CDTF">2019-10-14T15:57:49Z</dcterms:modified>
  <cp:category/>
  <cp:contentStatus/>
</cp:coreProperties>
</file>